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D:\AA Secretaria General 2024\SERVIASEAMOS\PAGO JUNIO 2024\"/>
    </mc:Choice>
  </mc:AlternateContent>
  <bookViews>
    <workbookView xWindow="0" yWindow="0" windowWidth="15360" windowHeight="10200" tabRatio="839" activeTab="1"/>
  </bookViews>
  <sheets>
    <sheet name="CONTROL PERSONAL FULL" sheetId="6" r:id="rId1"/>
    <sheet name="PERSONAL" sheetId="11" r:id="rId2"/>
    <sheet name="para facturar" sheetId="12" r:id="rId3"/>
    <sheet name="supernumerarias" sheetId="14" r:id="rId4"/>
    <sheet name="INSUMOS Y MAQUINARIA" sheetId="2" r:id="rId5"/>
    <sheet name="Rubro danna sin formula" sheetId="16" r:id="rId6"/>
    <sheet name="cumplidos junio 2024" sheetId="15" r:id="rId7"/>
    <sheet name="Rubro" sheetId="9" r:id="rId8"/>
    <sheet name="Control cantidades" sheetId="13" r:id="rId9"/>
    <sheet name="Hoja2" sheetId="17" r:id="rId10"/>
    <sheet name="Hoja3" sheetId="18" r:id="rId11"/>
  </sheets>
  <definedNames>
    <definedName name="_xlnm._FilterDatabase" localSheetId="8" hidden="1">'Control cantidades'!$B$2:$T$135</definedName>
    <definedName name="_xlnm._FilterDatabase" localSheetId="4" hidden="1">'INSUMOS Y MAQUINARIA'!$A$1:$BL$130</definedName>
    <definedName name="_xlnm._FilterDatabase" localSheetId="1" hidden="1">PERSONAL!$A$1:$U$244</definedName>
  </definedNames>
  <calcPr calcId="162913"/>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12" i="11" l="1"/>
  <c r="W212" i="11" s="1"/>
  <c r="I8" i="12"/>
  <c r="F8" i="12"/>
  <c r="E8" i="12"/>
  <c r="D8" i="12"/>
  <c r="BM130" i="2"/>
  <c r="BL130" i="2"/>
  <c r="X212" i="11" l="1"/>
  <c r="G301" i="11"/>
  <c r="F301" i="11"/>
  <c r="E301" i="11"/>
  <c r="D301" i="11"/>
  <c r="C301" i="11"/>
  <c r="B301" i="11"/>
  <c r="G300" i="11"/>
  <c r="F300" i="11"/>
  <c r="E300" i="11"/>
  <c r="D300" i="11"/>
  <c r="C300" i="11"/>
  <c r="B300" i="11"/>
  <c r="G299" i="11"/>
  <c r="F299" i="11"/>
  <c r="E299" i="11"/>
  <c r="D299" i="11"/>
  <c r="C299" i="11"/>
  <c r="B299" i="11"/>
  <c r="G298" i="11"/>
  <c r="F298" i="11"/>
  <c r="E298" i="11"/>
  <c r="D298" i="11"/>
  <c r="C298" i="11"/>
  <c r="B298" i="11"/>
  <c r="G297" i="11"/>
  <c r="F297" i="11"/>
  <c r="E297" i="11"/>
  <c r="D297" i="11"/>
  <c r="C297" i="11"/>
  <c r="B297" i="11"/>
  <c r="G296" i="11"/>
  <c r="F296" i="11"/>
  <c r="E296" i="11"/>
  <c r="D296" i="11"/>
  <c r="C296" i="11"/>
  <c r="B296" i="11"/>
  <c r="G295" i="11"/>
  <c r="F295" i="11"/>
  <c r="E295" i="11"/>
  <c r="D295" i="11"/>
  <c r="C295" i="11"/>
  <c r="B295" i="11"/>
  <c r="G294" i="11"/>
  <c r="F294" i="11"/>
  <c r="E294" i="11"/>
  <c r="D294" i="11"/>
  <c r="C294" i="11"/>
  <c r="B294" i="11"/>
  <c r="G293" i="11"/>
  <c r="F293" i="11"/>
  <c r="E293" i="11"/>
  <c r="D293" i="11"/>
  <c r="C293" i="11"/>
  <c r="B293" i="11"/>
  <c r="G292" i="11"/>
  <c r="F292" i="11"/>
  <c r="E292" i="11"/>
  <c r="D292" i="11"/>
  <c r="C292" i="11"/>
  <c r="B292" i="11"/>
  <c r="G291" i="11"/>
  <c r="F291" i="11"/>
  <c r="E291" i="11"/>
  <c r="D291" i="11"/>
  <c r="C291" i="11"/>
  <c r="B291" i="11"/>
  <c r="G290" i="11"/>
  <c r="F290" i="11"/>
  <c r="E290" i="11"/>
  <c r="D290" i="11"/>
  <c r="C290" i="11"/>
  <c r="B290" i="11"/>
  <c r="G289" i="11"/>
  <c r="F289" i="11"/>
  <c r="E289" i="11"/>
  <c r="D289" i="11"/>
  <c r="C289" i="11"/>
  <c r="B289" i="11"/>
  <c r="G288" i="11"/>
  <c r="F288" i="11"/>
  <c r="E288" i="11"/>
  <c r="D288" i="11"/>
  <c r="C288" i="11"/>
  <c r="B288" i="11"/>
  <c r="G287" i="11"/>
  <c r="F287" i="11"/>
  <c r="E287" i="11"/>
  <c r="D287" i="11"/>
  <c r="C287" i="11"/>
  <c r="B287" i="11"/>
  <c r="G286" i="11"/>
  <c r="F286" i="11"/>
  <c r="E286" i="11"/>
  <c r="D286" i="11"/>
  <c r="C286" i="11"/>
  <c r="B286" i="11"/>
  <c r="G285" i="11"/>
  <c r="F285" i="11"/>
  <c r="E285" i="11"/>
  <c r="D285" i="11"/>
  <c r="C285" i="11"/>
  <c r="B285" i="11"/>
  <c r="G284" i="11"/>
  <c r="F284" i="11"/>
  <c r="E284" i="11"/>
  <c r="D284" i="11"/>
  <c r="C284" i="11"/>
  <c r="B284" i="11"/>
  <c r="G283" i="11"/>
  <c r="F283" i="11"/>
  <c r="E283" i="11"/>
  <c r="D283" i="11"/>
  <c r="C283" i="11"/>
  <c r="B283" i="11"/>
  <c r="G282" i="11"/>
  <c r="F282" i="11"/>
  <c r="E282" i="11"/>
  <c r="D282" i="11"/>
  <c r="C282" i="11"/>
  <c r="B282" i="11"/>
  <c r="G281" i="11"/>
  <c r="F281" i="11"/>
  <c r="E281" i="11"/>
  <c r="D281" i="11"/>
  <c r="C281" i="11"/>
  <c r="B281" i="11"/>
  <c r="G280" i="11"/>
  <c r="F280" i="11"/>
  <c r="E280" i="11"/>
  <c r="D280" i="11"/>
  <c r="C280" i="11"/>
  <c r="B280" i="11"/>
  <c r="G279" i="11"/>
  <c r="F279" i="11"/>
  <c r="E279" i="11"/>
  <c r="D279" i="11"/>
  <c r="C279" i="11"/>
  <c r="B279" i="11"/>
  <c r="G278" i="11"/>
  <c r="F278" i="11"/>
  <c r="E278" i="11"/>
  <c r="D278" i="11"/>
  <c r="C278" i="11"/>
  <c r="B278" i="11"/>
  <c r="G277" i="11"/>
  <c r="F277" i="11"/>
  <c r="E277" i="11"/>
  <c r="D277" i="11"/>
  <c r="C277" i="11"/>
  <c r="B277" i="11"/>
  <c r="G255" i="11"/>
  <c r="G273" i="11"/>
  <c r="F273" i="11"/>
  <c r="E273" i="11"/>
  <c r="D273" i="11"/>
  <c r="G272" i="11"/>
  <c r="F272" i="11"/>
  <c r="E272" i="11"/>
  <c r="D272" i="11"/>
  <c r="G271" i="11"/>
  <c r="F271" i="11"/>
  <c r="E271" i="11"/>
  <c r="D271" i="11"/>
  <c r="G270" i="11"/>
  <c r="F270" i="11"/>
  <c r="E270" i="11"/>
  <c r="D270" i="11"/>
  <c r="G269" i="11"/>
  <c r="F269" i="11"/>
  <c r="E269" i="11"/>
  <c r="D269" i="11"/>
  <c r="G268" i="11"/>
  <c r="F268" i="11"/>
  <c r="D268" i="11"/>
  <c r="G267" i="11"/>
  <c r="E267" i="11"/>
  <c r="D267" i="11"/>
  <c r="D266" i="11"/>
  <c r="G265" i="11"/>
  <c r="F265" i="11"/>
  <c r="E265" i="11"/>
  <c r="D265" i="11"/>
  <c r="G264" i="11"/>
  <c r="F264" i="11"/>
  <c r="D264" i="11"/>
  <c r="G263" i="11"/>
  <c r="F263" i="11"/>
  <c r="E263" i="11"/>
  <c r="D263" i="11"/>
  <c r="G262" i="11"/>
  <c r="F262" i="11"/>
  <c r="E262" i="11"/>
  <c r="D262" i="11"/>
  <c r="G261" i="11"/>
  <c r="F261" i="11"/>
  <c r="D261" i="11"/>
  <c r="G260" i="11"/>
  <c r="F260" i="11"/>
  <c r="E260" i="11"/>
  <c r="D260" i="11"/>
  <c r="F259" i="11"/>
  <c r="D259" i="11"/>
  <c r="F258" i="11"/>
  <c r="E258" i="11"/>
  <c r="D258" i="11"/>
  <c r="G257" i="11"/>
  <c r="F257" i="11"/>
  <c r="E257" i="11"/>
  <c r="D257" i="11"/>
  <c r="G256" i="11"/>
  <c r="F256" i="11"/>
  <c r="E256" i="11"/>
  <c r="D256" i="11"/>
  <c r="F255" i="11"/>
  <c r="E255" i="11"/>
  <c r="D255" i="11"/>
  <c r="G254" i="11"/>
  <c r="F254" i="11"/>
  <c r="D254" i="11"/>
  <c r="G253" i="11"/>
  <c r="F253" i="11"/>
  <c r="G252" i="11"/>
  <c r="F252" i="11"/>
  <c r="E252" i="11"/>
  <c r="D252" i="11"/>
  <c r="G251" i="11"/>
  <c r="E251" i="11"/>
  <c r="D251" i="11"/>
  <c r="G250" i="11"/>
  <c r="E250" i="11"/>
  <c r="D250" i="11"/>
  <c r="B273" i="11"/>
  <c r="B272" i="11"/>
  <c r="B270" i="11"/>
  <c r="B265" i="11"/>
  <c r="B261" i="11"/>
  <c r="B260" i="11"/>
  <c r="B252" i="11"/>
  <c r="U88" i="11"/>
  <c r="V88" i="11" s="1"/>
  <c r="BM129" i="2"/>
  <c r="BL129" i="2"/>
  <c r="BM128" i="2"/>
  <c r="BL128" i="2"/>
  <c r="BM127" i="2"/>
  <c r="BL127" i="2"/>
  <c r="BM126" i="2"/>
  <c r="BL126" i="2"/>
  <c r="BM125" i="2"/>
  <c r="BL125" i="2"/>
  <c r="BM124" i="2"/>
  <c r="BL124" i="2"/>
  <c r="BM123" i="2"/>
  <c r="BL123" i="2"/>
  <c r="BM122" i="2"/>
  <c r="BL122" i="2"/>
  <c r="BM121" i="2"/>
  <c r="BL121" i="2"/>
  <c r="BM120" i="2"/>
  <c r="BL120" i="2"/>
  <c r="BM119" i="2"/>
  <c r="BL119" i="2"/>
  <c r="BM118" i="2"/>
  <c r="BL118" i="2"/>
  <c r="BM117" i="2"/>
  <c r="BL117" i="2"/>
  <c r="BM116" i="2"/>
  <c r="BL116" i="2"/>
  <c r="BM115" i="2"/>
  <c r="BL115" i="2"/>
  <c r="BM114" i="2"/>
  <c r="BL114" i="2"/>
  <c r="BM113" i="2"/>
  <c r="BL113" i="2"/>
  <c r="BM112" i="2"/>
  <c r="BL112" i="2"/>
  <c r="BM111" i="2"/>
  <c r="BL111" i="2"/>
  <c r="BM110" i="2"/>
  <c r="BL110" i="2"/>
  <c r="BM109" i="2"/>
  <c r="BL109" i="2"/>
  <c r="BM108" i="2"/>
  <c r="BL108" i="2"/>
  <c r="BM107" i="2"/>
  <c r="BL107" i="2"/>
  <c r="BM106" i="2"/>
  <c r="BL106" i="2"/>
  <c r="BM105" i="2"/>
  <c r="BL105" i="2"/>
  <c r="BM104" i="2"/>
  <c r="BL104" i="2"/>
  <c r="BM103" i="2"/>
  <c r="BL103" i="2"/>
  <c r="BM102" i="2"/>
  <c r="BL102" i="2"/>
  <c r="BM101" i="2"/>
  <c r="BL101" i="2"/>
  <c r="BM100" i="2"/>
  <c r="BL100" i="2"/>
  <c r="BM99" i="2"/>
  <c r="BL99" i="2"/>
  <c r="BM98" i="2"/>
  <c r="BL98" i="2"/>
  <c r="BM97" i="2"/>
  <c r="BL97" i="2"/>
  <c r="BM96" i="2"/>
  <c r="BL96" i="2"/>
  <c r="BM95" i="2"/>
  <c r="BL95" i="2"/>
  <c r="BM94" i="2"/>
  <c r="BL94" i="2"/>
  <c r="BM93" i="2"/>
  <c r="BL93" i="2"/>
  <c r="BM92" i="2"/>
  <c r="BL92" i="2"/>
  <c r="BM91" i="2"/>
  <c r="BL91" i="2"/>
  <c r="BM90" i="2"/>
  <c r="BL90" i="2"/>
  <c r="BM89" i="2"/>
  <c r="BL89" i="2"/>
  <c r="BM88" i="2"/>
  <c r="BL88" i="2"/>
  <c r="BM87" i="2"/>
  <c r="BL87" i="2"/>
  <c r="BM86" i="2"/>
  <c r="BL86" i="2"/>
  <c r="BM85" i="2"/>
  <c r="BL85" i="2"/>
  <c r="BM84" i="2"/>
  <c r="BL84" i="2"/>
  <c r="BM83" i="2"/>
  <c r="BL83" i="2"/>
  <c r="BM82" i="2"/>
  <c r="BL82" i="2"/>
  <c r="BM81" i="2"/>
  <c r="BL81" i="2"/>
  <c r="BM80" i="2"/>
  <c r="BL80" i="2"/>
  <c r="BM79" i="2"/>
  <c r="BL79" i="2"/>
  <c r="BM78" i="2"/>
  <c r="BL78" i="2"/>
  <c r="BM77" i="2"/>
  <c r="BL77" i="2"/>
  <c r="BM76" i="2"/>
  <c r="BL76" i="2"/>
  <c r="BM75" i="2"/>
  <c r="BL75" i="2"/>
  <c r="BM74" i="2"/>
  <c r="BL74" i="2"/>
  <c r="BM73" i="2"/>
  <c r="BL73" i="2"/>
  <c r="BM72" i="2"/>
  <c r="BL72" i="2"/>
  <c r="BM71" i="2"/>
  <c r="BL71" i="2"/>
  <c r="BM70" i="2"/>
  <c r="BL70" i="2"/>
  <c r="BM69" i="2"/>
  <c r="BL69" i="2"/>
  <c r="BM68" i="2"/>
  <c r="BL68" i="2"/>
  <c r="BM67" i="2"/>
  <c r="BL67" i="2"/>
  <c r="BM66" i="2"/>
  <c r="BL66" i="2"/>
  <c r="BM65" i="2"/>
  <c r="BL65" i="2"/>
  <c r="BM64" i="2"/>
  <c r="BL64" i="2"/>
  <c r="BM63" i="2"/>
  <c r="BL63" i="2"/>
  <c r="BM62" i="2"/>
  <c r="BL62" i="2"/>
  <c r="BM61" i="2"/>
  <c r="BL61" i="2"/>
  <c r="BM60" i="2"/>
  <c r="BL60" i="2"/>
  <c r="BM59" i="2"/>
  <c r="BL59" i="2"/>
  <c r="BM58" i="2"/>
  <c r="BL58" i="2"/>
  <c r="BM57" i="2"/>
  <c r="BL57" i="2"/>
  <c r="BM56" i="2"/>
  <c r="BL56" i="2"/>
  <c r="BM55" i="2"/>
  <c r="BL55" i="2"/>
  <c r="BM54" i="2"/>
  <c r="BL54" i="2"/>
  <c r="BM53" i="2"/>
  <c r="BL53" i="2"/>
  <c r="BM52" i="2"/>
  <c r="BL52" i="2"/>
  <c r="BM51" i="2"/>
  <c r="BL51" i="2"/>
  <c r="BM50" i="2"/>
  <c r="BL50" i="2"/>
  <c r="BM49" i="2"/>
  <c r="BL49" i="2"/>
  <c r="BM48" i="2"/>
  <c r="BL48" i="2"/>
  <c r="BM47" i="2"/>
  <c r="BL47" i="2"/>
  <c r="BM46" i="2"/>
  <c r="BL46" i="2"/>
  <c r="BM45" i="2"/>
  <c r="BL45" i="2"/>
  <c r="BM44" i="2"/>
  <c r="BL44" i="2"/>
  <c r="BM43" i="2"/>
  <c r="BL43" i="2"/>
  <c r="BM42" i="2"/>
  <c r="BL42" i="2"/>
  <c r="BM41" i="2"/>
  <c r="BL41" i="2"/>
  <c r="BM40" i="2"/>
  <c r="BL40" i="2"/>
  <c r="BM39" i="2"/>
  <c r="BL39" i="2"/>
  <c r="BM38" i="2"/>
  <c r="BL38" i="2"/>
  <c r="BM37" i="2"/>
  <c r="BL37" i="2"/>
  <c r="BM36" i="2"/>
  <c r="BL36" i="2"/>
  <c r="BM35" i="2"/>
  <c r="BL35" i="2"/>
  <c r="BM34" i="2"/>
  <c r="BL34" i="2"/>
  <c r="BM33" i="2"/>
  <c r="BL33" i="2"/>
  <c r="BM32" i="2"/>
  <c r="BL32" i="2"/>
  <c r="BM31" i="2"/>
  <c r="BL31" i="2"/>
  <c r="BM30" i="2"/>
  <c r="BL30" i="2"/>
  <c r="BM29" i="2"/>
  <c r="BL29" i="2"/>
  <c r="BM28" i="2"/>
  <c r="BL28" i="2"/>
  <c r="BM27" i="2"/>
  <c r="BL27" i="2"/>
  <c r="BM26" i="2"/>
  <c r="BL26" i="2"/>
  <c r="BM25" i="2"/>
  <c r="BL25" i="2"/>
  <c r="BM24" i="2"/>
  <c r="BL24" i="2"/>
  <c r="BM23" i="2"/>
  <c r="BL23" i="2"/>
  <c r="BM22" i="2"/>
  <c r="BL22" i="2"/>
  <c r="BM21" i="2"/>
  <c r="BL21" i="2"/>
  <c r="BM20" i="2"/>
  <c r="BL20" i="2"/>
  <c r="BM19" i="2"/>
  <c r="BL19" i="2"/>
  <c r="BM18" i="2"/>
  <c r="BL18" i="2"/>
  <c r="BM17" i="2"/>
  <c r="BL17" i="2"/>
  <c r="BM16" i="2"/>
  <c r="BL16" i="2"/>
  <c r="BM15" i="2"/>
  <c r="BL15" i="2"/>
  <c r="BM14" i="2"/>
  <c r="BL14" i="2"/>
  <c r="BM13" i="2"/>
  <c r="BL13" i="2"/>
  <c r="BM12" i="2"/>
  <c r="BL12" i="2"/>
  <c r="BM11" i="2"/>
  <c r="BL11" i="2"/>
  <c r="BM10" i="2"/>
  <c r="BL10" i="2"/>
  <c r="BM9" i="2"/>
  <c r="BL9" i="2"/>
  <c r="BM8" i="2"/>
  <c r="BL8" i="2"/>
  <c r="BM7" i="2"/>
  <c r="BL7" i="2"/>
  <c r="BM6" i="2"/>
  <c r="BL6" i="2"/>
  <c r="BM5" i="2"/>
  <c r="BL5" i="2"/>
  <c r="BM4" i="2"/>
  <c r="BL4" i="2"/>
  <c r="BM3" i="2"/>
  <c r="BL3" i="2"/>
  <c r="BI130" i="2"/>
  <c r="BH130" i="2"/>
  <c r="BG130" i="2"/>
  <c r="BF130" i="2"/>
  <c r="BE130" i="2"/>
  <c r="BD130" i="2"/>
  <c r="BC130" i="2"/>
  <c r="BB130" i="2"/>
  <c r="BA130" i="2"/>
  <c r="AZ130" i="2"/>
  <c r="AY130" i="2"/>
  <c r="AX130" i="2"/>
  <c r="AW130" i="2"/>
  <c r="AV130" i="2"/>
  <c r="AU130" i="2"/>
  <c r="AT130" i="2"/>
  <c r="AS130" i="2"/>
  <c r="AR130" i="2"/>
  <c r="AQ130" i="2"/>
  <c r="AP130" i="2"/>
  <c r="AO130" i="2"/>
  <c r="AN130" i="2"/>
  <c r="AM130" i="2"/>
  <c r="AL130" i="2"/>
  <c r="AK130" i="2"/>
  <c r="BI129" i="2"/>
  <c r="BH129" i="2"/>
  <c r="BG129" i="2"/>
  <c r="BF129" i="2"/>
  <c r="BE129" i="2"/>
  <c r="BD129" i="2"/>
  <c r="BC129" i="2"/>
  <c r="BB129" i="2"/>
  <c r="BA129" i="2"/>
  <c r="AZ129" i="2"/>
  <c r="AY129" i="2"/>
  <c r="AX129" i="2"/>
  <c r="AW129" i="2"/>
  <c r="AV129" i="2"/>
  <c r="AU129" i="2"/>
  <c r="AT129" i="2"/>
  <c r="AS129" i="2"/>
  <c r="AR129" i="2"/>
  <c r="AQ129" i="2"/>
  <c r="AP129" i="2"/>
  <c r="AO129" i="2"/>
  <c r="AN129" i="2"/>
  <c r="AM129" i="2"/>
  <c r="AL129" i="2"/>
  <c r="AK129" i="2"/>
  <c r="BI128" i="2"/>
  <c r="BH128" i="2"/>
  <c r="BG128" i="2"/>
  <c r="BF128" i="2"/>
  <c r="BE128" i="2"/>
  <c r="BD128" i="2"/>
  <c r="BC128" i="2"/>
  <c r="BB128" i="2"/>
  <c r="BA128" i="2"/>
  <c r="AZ128" i="2"/>
  <c r="AY128" i="2"/>
  <c r="AX128" i="2"/>
  <c r="AW128" i="2"/>
  <c r="AV128" i="2"/>
  <c r="AU128" i="2"/>
  <c r="AT128" i="2"/>
  <c r="AS128" i="2"/>
  <c r="AR128" i="2"/>
  <c r="AQ128" i="2"/>
  <c r="AP128" i="2"/>
  <c r="AO128" i="2"/>
  <c r="AN128" i="2"/>
  <c r="AM128" i="2"/>
  <c r="AL128" i="2"/>
  <c r="AK128" i="2"/>
  <c r="BI127" i="2"/>
  <c r="BH127" i="2"/>
  <c r="BG127" i="2"/>
  <c r="BF127" i="2"/>
  <c r="BE127" i="2"/>
  <c r="BD127" i="2"/>
  <c r="BC127" i="2"/>
  <c r="BB127" i="2"/>
  <c r="BA127" i="2"/>
  <c r="AZ127" i="2"/>
  <c r="AY127" i="2"/>
  <c r="AX127" i="2"/>
  <c r="AW127" i="2"/>
  <c r="AV127" i="2"/>
  <c r="AU127" i="2"/>
  <c r="AT127" i="2"/>
  <c r="AS127" i="2"/>
  <c r="AR127" i="2"/>
  <c r="AQ127" i="2"/>
  <c r="AP127" i="2"/>
  <c r="AO127" i="2"/>
  <c r="AN127" i="2"/>
  <c r="AM127" i="2"/>
  <c r="AL127" i="2"/>
  <c r="AK127" i="2"/>
  <c r="BI126" i="2"/>
  <c r="BH126" i="2"/>
  <c r="BG126" i="2"/>
  <c r="BF126" i="2"/>
  <c r="BE126" i="2"/>
  <c r="BD126" i="2"/>
  <c r="BC126" i="2"/>
  <c r="BB126" i="2"/>
  <c r="BA126" i="2"/>
  <c r="AZ126" i="2"/>
  <c r="AY126" i="2"/>
  <c r="AX126" i="2"/>
  <c r="AW126" i="2"/>
  <c r="AV126" i="2"/>
  <c r="AU126" i="2"/>
  <c r="AT126" i="2"/>
  <c r="AS126" i="2"/>
  <c r="AR126" i="2"/>
  <c r="AQ126" i="2"/>
  <c r="AP126" i="2"/>
  <c r="AO126" i="2"/>
  <c r="AN126" i="2"/>
  <c r="AM126" i="2"/>
  <c r="AL126" i="2"/>
  <c r="AK126" i="2"/>
  <c r="BI125" i="2"/>
  <c r="BH125" i="2"/>
  <c r="BG125" i="2"/>
  <c r="BF125" i="2"/>
  <c r="BE125" i="2"/>
  <c r="BD125" i="2"/>
  <c r="BC125" i="2"/>
  <c r="BB125" i="2"/>
  <c r="BA125" i="2"/>
  <c r="AZ125" i="2"/>
  <c r="AY125" i="2"/>
  <c r="AX125" i="2"/>
  <c r="AW125" i="2"/>
  <c r="AV125" i="2"/>
  <c r="AU125" i="2"/>
  <c r="AT125" i="2"/>
  <c r="AS125" i="2"/>
  <c r="AR125" i="2"/>
  <c r="AQ125" i="2"/>
  <c r="AP125" i="2"/>
  <c r="AO125" i="2"/>
  <c r="AN125" i="2"/>
  <c r="AM125" i="2"/>
  <c r="AL125" i="2"/>
  <c r="AK125" i="2"/>
  <c r="BI124" i="2"/>
  <c r="BH124" i="2"/>
  <c r="BG124" i="2"/>
  <c r="BF124" i="2"/>
  <c r="BE124" i="2"/>
  <c r="BD124" i="2"/>
  <c r="BC124" i="2"/>
  <c r="BB124" i="2"/>
  <c r="BA124" i="2"/>
  <c r="AZ124" i="2"/>
  <c r="AY124" i="2"/>
  <c r="AX124" i="2"/>
  <c r="AW124" i="2"/>
  <c r="AV124" i="2"/>
  <c r="AU124" i="2"/>
  <c r="AT124" i="2"/>
  <c r="AS124" i="2"/>
  <c r="AR124" i="2"/>
  <c r="AQ124" i="2"/>
  <c r="AP124" i="2"/>
  <c r="AO124" i="2"/>
  <c r="AN124" i="2"/>
  <c r="AM124" i="2"/>
  <c r="AL124" i="2"/>
  <c r="AK124" i="2"/>
  <c r="BI123" i="2"/>
  <c r="BH123" i="2"/>
  <c r="BG123" i="2"/>
  <c r="BF123" i="2"/>
  <c r="BE123" i="2"/>
  <c r="BD123" i="2"/>
  <c r="BC123" i="2"/>
  <c r="BB123" i="2"/>
  <c r="BA123" i="2"/>
  <c r="AZ123" i="2"/>
  <c r="AY123" i="2"/>
  <c r="AX123" i="2"/>
  <c r="AW123" i="2"/>
  <c r="AV123" i="2"/>
  <c r="AU123" i="2"/>
  <c r="AT123" i="2"/>
  <c r="AS123" i="2"/>
  <c r="AR123" i="2"/>
  <c r="AQ123" i="2"/>
  <c r="AP123" i="2"/>
  <c r="AO123" i="2"/>
  <c r="AN123" i="2"/>
  <c r="AM123" i="2"/>
  <c r="AL123" i="2"/>
  <c r="AK123" i="2"/>
  <c r="BI122" i="2"/>
  <c r="BH122" i="2"/>
  <c r="BG122" i="2"/>
  <c r="BF122" i="2"/>
  <c r="BE122" i="2"/>
  <c r="BD122" i="2"/>
  <c r="BC122" i="2"/>
  <c r="BB122" i="2"/>
  <c r="BA122" i="2"/>
  <c r="AZ122" i="2"/>
  <c r="AY122" i="2"/>
  <c r="AX122" i="2"/>
  <c r="AW122" i="2"/>
  <c r="AV122" i="2"/>
  <c r="AU122" i="2"/>
  <c r="AT122" i="2"/>
  <c r="AS122" i="2"/>
  <c r="AR122" i="2"/>
  <c r="AQ122" i="2"/>
  <c r="AP122" i="2"/>
  <c r="AO122" i="2"/>
  <c r="AN122" i="2"/>
  <c r="AM122" i="2"/>
  <c r="AL122" i="2"/>
  <c r="AK122" i="2"/>
  <c r="BI121" i="2"/>
  <c r="BH121" i="2"/>
  <c r="BG121" i="2"/>
  <c r="BF121" i="2"/>
  <c r="BE121" i="2"/>
  <c r="BD121" i="2"/>
  <c r="BC121" i="2"/>
  <c r="BB121" i="2"/>
  <c r="BA121" i="2"/>
  <c r="AZ121" i="2"/>
  <c r="AY121" i="2"/>
  <c r="AX121" i="2"/>
  <c r="AW121" i="2"/>
  <c r="AV121" i="2"/>
  <c r="AU121" i="2"/>
  <c r="AT121" i="2"/>
  <c r="AS121" i="2"/>
  <c r="AR121" i="2"/>
  <c r="AQ121" i="2"/>
  <c r="AP121" i="2"/>
  <c r="AO121" i="2"/>
  <c r="AN121" i="2"/>
  <c r="AM121" i="2"/>
  <c r="AL121" i="2"/>
  <c r="AK121" i="2"/>
  <c r="BI120" i="2"/>
  <c r="BH120" i="2"/>
  <c r="BG120" i="2"/>
  <c r="BF120" i="2"/>
  <c r="BE120" i="2"/>
  <c r="BD120" i="2"/>
  <c r="BC120" i="2"/>
  <c r="BB120" i="2"/>
  <c r="BA120" i="2"/>
  <c r="AZ120" i="2"/>
  <c r="AY120" i="2"/>
  <c r="AX120" i="2"/>
  <c r="AW120" i="2"/>
  <c r="AV120" i="2"/>
  <c r="AU120" i="2"/>
  <c r="AT120" i="2"/>
  <c r="AS120" i="2"/>
  <c r="AR120" i="2"/>
  <c r="AQ120" i="2"/>
  <c r="AP120" i="2"/>
  <c r="AO120" i="2"/>
  <c r="AN120" i="2"/>
  <c r="AM120" i="2"/>
  <c r="AL120" i="2"/>
  <c r="AK120" i="2"/>
  <c r="BI119" i="2"/>
  <c r="BH119" i="2"/>
  <c r="BG119" i="2"/>
  <c r="BF119" i="2"/>
  <c r="BE119" i="2"/>
  <c r="BD119" i="2"/>
  <c r="BC119" i="2"/>
  <c r="BB119" i="2"/>
  <c r="BA119" i="2"/>
  <c r="AZ119" i="2"/>
  <c r="AY119" i="2"/>
  <c r="AX119" i="2"/>
  <c r="AW119" i="2"/>
  <c r="AV119" i="2"/>
  <c r="AU119" i="2"/>
  <c r="AT119" i="2"/>
  <c r="AS119" i="2"/>
  <c r="AR119" i="2"/>
  <c r="AQ119" i="2"/>
  <c r="AP119" i="2"/>
  <c r="AO119" i="2"/>
  <c r="AN119" i="2"/>
  <c r="AM119" i="2"/>
  <c r="AL119" i="2"/>
  <c r="AK119" i="2"/>
  <c r="BI118" i="2"/>
  <c r="BH118" i="2"/>
  <c r="BG118" i="2"/>
  <c r="BF118" i="2"/>
  <c r="BE118" i="2"/>
  <c r="BD118" i="2"/>
  <c r="BC118" i="2"/>
  <c r="BB118" i="2"/>
  <c r="BA118" i="2"/>
  <c r="AZ118" i="2"/>
  <c r="AY118" i="2"/>
  <c r="AX118" i="2"/>
  <c r="AW118" i="2"/>
  <c r="AV118" i="2"/>
  <c r="AU118" i="2"/>
  <c r="AT118" i="2"/>
  <c r="AS118" i="2"/>
  <c r="AR118" i="2"/>
  <c r="AQ118" i="2"/>
  <c r="AP118" i="2"/>
  <c r="AO118" i="2"/>
  <c r="AN118" i="2"/>
  <c r="AM118" i="2"/>
  <c r="AL118" i="2"/>
  <c r="AK118" i="2"/>
  <c r="BI117" i="2"/>
  <c r="BH117" i="2"/>
  <c r="BG117" i="2"/>
  <c r="BF117" i="2"/>
  <c r="BE117" i="2"/>
  <c r="BD117" i="2"/>
  <c r="BC117" i="2"/>
  <c r="BB117" i="2"/>
  <c r="BA117" i="2"/>
  <c r="AZ117" i="2"/>
  <c r="AY117" i="2"/>
  <c r="AX117" i="2"/>
  <c r="AW117" i="2"/>
  <c r="AV117" i="2"/>
  <c r="AU117" i="2"/>
  <c r="AT117" i="2"/>
  <c r="AS117" i="2"/>
  <c r="AR117" i="2"/>
  <c r="AQ117" i="2"/>
  <c r="AP117" i="2"/>
  <c r="AO117" i="2"/>
  <c r="AN117" i="2"/>
  <c r="AM117" i="2"/>
  <c r="AL117" i="2"/>
  <c r="AK117" i="2"/>
  <c r="BI116" i="2"/>
  <c r="BH116" i="2"/>
  <c r="BG116" i="2"/>
  <c r="BF116" i="2"/>
  <c r="BE116" i="2"/>
  <c r="BD116" i="2"/>
  <c r="BC116" i="2"/>
  <c r="BB116" i="2"/>
  <c r="BA116" i="2"/>
  <c r="AZ116" i="2"/>
  <c r="AY116" i="2"/>
  <c r="AX116" i="2"/>
  <c r="AW116" i="2"/>
  <c r="AV116" i="2"/>
  <c r="AU116" i="2"/>
  <c r="AT116" i="2"/>
  <c r="AS116" i="2"/>
  <c r="AR116" i="2"/>
  <c r="AQ116" i="2"/>
  <c r="AP116" i="2"/>
  <c r="AO116" i="2"/>
  <c r="AN116" i="2"/>
  <c r="AM116" i="2"/>
  <c r="AL116" i="2"/>
  <c r="AK116" i="2"/>
  <c r="BI115" i="2"/>
  <c r="BH115" i="2"/>
  <c r="BG115" i="2"/>
  <c r="BF115" i="2"/>
  <c r="BE115" i="2"/>
  <c r="BD115" i="2"/>
  <c r="BC115" i="2"/>
  <c r="BB115" i="2"/>
  <c r="BA115" i="2"/>
  <c r="AZ115" i="2"/>
  <c r="AY115" i="2"/>
  <c r="AX115" i="2"/>
  <c r="AW115" i="2"/>
  <c r="AV115" i="2"/>
  <c r="AU115" i="2"/>
  <c r="AT115" i="2"/>
  <c r="AS115" i="2"/>
  <c r="AR115" i="2"/>
  <c r="AQ115" i="2"/>
  <c r="AP115" i="2"/>
  <c r="AO115" i="2"/>
  <c r="AN115" i="2"/>
  <c r="AM115" i="2"/>
  <c r="AL115" i="2"/>
  <c r="AK115" i="2"/>
  <c r="BI114" i="2"/>
  <c r="BH114" i="2"/>
  <c r="BG114" i="2"/>
  <c r="BF114" i="2"/>
  <c r="BE114" i="2"/>
  <c r="BD114" i="2"/>
  <c r="BC114" i="2"/>
  <c r="BB114" i="2"/>
  <c r="BA114" i="2"/>
  <c r="AZ114" i="2"/>
  <c r="AY114" i="2"/>
  <c r="AX114" i="2"/>
  <c r="AW114" i="2"/>
  <c r="AV114" i="2"/>
  <c r="AU114" i="2"/>
  <c r="AT114" i="2"/>
  <c r="AS114" i="2"/>
  <c r="AR114" i="2"/>
  <c r="AQ114" i="2"/>
  <c r="AP114" i="2"/>
  <c r="AO114" i="2"/>
  <c r="AN114" i="2"/>
  <c r="AM114" i="2"/>
  <c r="AL114" i="2"/>
  <c r="AK114" i="2"/>
  <c r="BI113" i="2"/>
  <c r="BH113" i="2"/>
  <c r="BG113" i="2"/>
  <c r="BF113" i="2"/>
  <c r="BE113" i="2"/>
  <c r="BD113" i="2"/>
  <c r="BC113" i="2"/>
  <c r="BB113" i="2"/>
  <c r="BA113" i="2"/>
  <c r="AZ113" i="2"/>
  <c r="AY113" i="2"/>
  <c r="AX113" i="2"/>
  <c r="AW113" i="2"/>
  <c r="AV113" i="2"/>
  <c r="AU113" i="2"/>
  <c r="AT113" i="2"/>
  <c r="AS113" i="2"/>
  <c r="AR113" i="2"/>
  <c r="AQ113" i="2"/>
  <c r="AP113" i="2"/>
  <c r="AO113" i="2"/>
  <c r="AN113" i="2"/>
  <c r="AM113" i="2"/>
  <c r="AL113" i="2"/>
  <c r="AK113" i="2"/>
  <c r="BI112" i="2"/>
  <c r="BH112" i="2"/>
  <c r="BG112" i="2"/>
  <c r="BF112" i="2"/>
  <c r="BE112" i="2"/>
  <c r="BD112" i="2"/>
  <c r="BC112" i="2"/>
  <c r="BB112" i="2"/>
  <c r="BA112" i="2"/>
  <c r="AZ112" i="2"/>
  <c r="AY112" i="2"/>
  <c r="AX112" i="2"/>
  <c r="AW112" i="2"/>
  <c r="AV112" i="2"/>
  <c r="AU112" i="2"/>
  <c r="AT112" i="2"/>
  <c r="AS112" i="2"/>
  <c r="AR112" i="2"/>
  <c r="AQ112" i="2"/>
  <c r="AP112" i="2"/>
  <c r="AO112" i="2"/>
  <c r="AN112" i="2"/>
  <c r="AM112" i="2"/>
  <c r="AL112" i="2"/>
  <c r="AK112" i="2"/>
  <c r="BI111" i="2"/>
  <c r="BH111" i="2"/>
  <c r="BG111" i="2"/>
  <c r="BF111" i="2"/>
  <c r="BE111" i="2"/>
  <c r="BD111" i="2"/>
  <c r="BC111" i="2"/>
  <c r="BB111" i="2"/>
  <c r="BA111" i="2"/>
  <c r="AZ111" i="2"/>
  <c r="AY111" i="2"/>
  <c r="AX111" i="2"/>
  <c r="AW111" i="2"/>
  <c r="AV111" i="2"/>
  <c r="AU111" i="2"/>
  <c r="AT111" i="2"/>
  <c r="AS111" i="2"/>
  <c r="AR111" i="2"/>
  <c r="AQ111" i="2"/>
  <c r="AP111" i="2"/>
  <c r="AO111" i="2"/>
  <c r="AN111" i="2"/>
  <c r="AM111" i="2"/>
  <c r="AL111" i="2"/>
  <c r="AK111" i="2"/>
  <c r="BI110" i="2"/>
  <c r="BH110" i="2"/>
  <c r="BG110" i="2"/>
  <c r="BF110" i="2"/>
  <c r="BE110" i="2"/>
  <c r="BD110" i="2"/>
  <c r="BC110" i="2"/>
  <c r="BB110" i="2"/>
  <c r="BA110" i="2"/>
  <c r="AZ110" i="2"/>
  <c r="AY110" i="2"/>
  <c r="AX110" i="2"/>
  <c r="AW110" i="2"/>
  <c r="AV110" i="2"/>
  <c r="AU110" i="2"/>
  <c r="AT110" i="2"/>
  <c r="AS110" i="2"/>
  <c r="AR110" i="2"/>
  <c r="AQ110" i="2"/>
  <c r="AP110" i="2"/>
  <c r="AO110" i="2"/>
  <c r="AN110" i="2"/>
  <c r="AM110" i="2"/>
  <c r="AL110" i="2"/>
  <c r="AK110" i="2"/>
  <c r="BI109" i="2"/>
  <c r="BH109" i="2"/>
  <c r="BG109" i="2"/>
  <c r="BF109" i="2"/>
  <c r="BE109" i="2"/>
  <c r="BD109" i="2"/>
  <c r="BC109" i="2"/>
  <c r="BB109" i="2"/>
  <c r="BA109" i="2"/>
  <c r="AZ109" i="2"/>
  <c r="AY109" i="2"/>
  <c r="AX109" i="2"/>
  <c r="AW109" i="2"/>
  <c r="AV109" i="2"/>
  <c r="AU109" i="2"/>
  <c r="AT109" i="2"/>
  <c r="AS109" i="2"/>
  <c r="AR109" i="2"/>
  <c r="AQ109" i="2"/>
  <c r="AP109" i="2"/>
  <c r="AO109" i="2"/>
  <c r="AN109" i="2"/>
  <c r="AM109" i="2"/>
  <c r="AL109" i="2"/>
  <c r="AK109" i="2"/>
  <c r="BI108" i="2"/>
  <c r="BH108" i="2"/>
  <c r="BG108" i="2"/>
  <c r="BF108" i="2"/>
  <c r="BE108" i="2"/>
  <c r="BD108" i="2"/>
  <c r="BC108" i="2"/>
  <c r="BB108" i="2"/>
  <c r="BA108" i="2"/>
  <c r="AZ108" i="2"/>
  <c r="AY108" i="2"/>
  <c r="AX108" i="2"/>
  <c r="AW108" i="2"/>
  <c r="AV108" i="2"/>
  <c r="AU108" i="2"/>
  <c r="AT108" i="2"/>
  <c r="AS108" i="2"/>
  <c r="AR108" i="2"/>
  <c r="AQ108" i="2"/>
  <c r="AP108" i="2"/>
  <c r="AO108" i="2"/>
  <c r="AN108" i="2"/>
  <c r="AM108" i="2"/>
  <c r="AL108" i="2"/>
  <c r="AK108" i="2"/>
  <c r="BI107" i="2"/>
  <c r="BH107" i="2"/>
  <c r="BG107" i="2"/>
  <c r="BF107" i="2"/>
  <c r="BE107" i="2"/>
  <c r="BD107" i="2"/>
  <c r="BC107" i="2"/>
  <c r="BB107" i="2"/>
  <c r="BA107" i="2"/>
  <c r="AZ107" i="2"/>
  <c r="AY107" i="2"/>
  <c r="AX107" i="2"/>
  <c r="AW107" i="2"/>
  <c r="AV107" i="2"/>
  <c r="AU107" i="2"/>
  <c r="AT107" i="2"/>
  <c r="AS107" i="2"/>
  <c r="AR107" i="2"/>
  <c r="AQ107" i="2"/>
  <c r="AP107" i="2"/>
  <c r="AO107" i="2"/>
  <c r="AN107" i="2"/>
  <c r="AM107" i="2"/>
  <c r="AL107" i="2"/>
  <c r="AK107" i="2"/>
  <c r="BI106" i="2"/>
  <c r="BH106" i="2"/>
  <c r="BG106" i="2"/>
  <c r="BF106" i="2"/>
  <c r="BE106" i="2"/>
  <c r="BD106" i="2"/>
  <c r="BC106" i="2"/>
  <c r="BB106" i="2"/>
  <c r="BA106" i="2"/>
  <c r="AZ106" i="2"/>
  <c r="AY106" i="2"/>
  <c r="AX106" i="2"/>
  <c r="AW106" i="2"/>
  <c r="AV106" i="2"/>
  <c r="AU106" i="2"/>
  <c r="AT106" i="2"/>
  <c r="AS106" i="2"/>
  <c r="AR106" i="2"/>
  <c r="AQ106" i="2"/>
  <c r="AP106" i="2"/>
  <c r="AO106" i="2"/>
  <c r="AN106" i="2"/>
  <c r="AM106" i="2"/>
  <c r="AL106" i="2"/>
  <c r="AK106" i="2"/>
  <c r="BI105" i="2"/>
  <c r="BH105" i="2"/>
  <c r="BG105" i="2"/>
  <c r="BF105" i="2"/>
  <c r="BE105" i="2"/>
  <c r="BD105" i="2"/>
  <c r="BC105" i="2"/>
  <c r="BB105" i="2"/>
  <c r="BA105" i="2"/>
  <c r="AZ105" i="2"/>
  <c r="AY105" i="2"/>
  <c r="AX105" i="2"/>
  <c r="AW105" i="2"/>
  <c r="AV105" i="2"/>
  <c r="AU105" i="2"/>
  <c r="AT105" i="2"/>
  <c r="AS105" i="2"/>
  <c r="AR105" i="2"/>
  <c r="AQ105" i="2"/>
  <c r="AP105" i="2"/>
  <c r="AO105" i="2"/>
  <c r="AN105" i="2"/>
  <c r="AM105" i="2"/>
  <c r="AL105" i="2"/>
  <c r="AK105" i="2"/>
  <c r="BI104" i="2"/>
  <c r="BH104" i="2"/>
  <c r="BG104" i="2"/>
  <c r="BF104" i="2"/>
  <c r="BE104" i="2"/>
  <c r="BD104" i="2"/>
  <c r="BC104" i="2"/>
  <c r="BB104" i="2"/>
  <c r="BA104" i="2"/>
  <c r="AZ104" i="2"/>
  <c r="AY104" i="2"/>
  <c r="AX104" i="2"/>
  <c r="AW104" i="2"/>
  <c r="AV104" i="2"/>
  <c r="AU104" i="2"/>
  <c r="AT104" i="2"/>
  <c r="AS104" i="2"/>
  <c r="AR104" i="2"/>
  <c r="AQ104" i="2"/>
  <c r="AP104" i="2"/>
  <c r="AO104" i="2"/>
  <c r="AN104" i="2"/>
  <c r="AM104" i="2"/>
  <c r="AL104" i="2"/>
  <c r="AK104" i="2"/>
  <c r="BI103" i="2"/>
  <c r="BH103" i="2"/>
  <c r="BG103" i="2"/>
  <c r="BF103" i="2"/>
  <c r="BE103" i="2"/>
  <c r="BD103" i="2"/>
  <c r="BC103" i="2"/>
  <c r="BB103" i="2"/>
  <c r="BA103" i="2"/>
  <c r="AZ103" i="2"/>
  <c r="AY103" i="2"/>
  <c r="AX103" i="2"/>
  <c r="AW103" i="2"/>
  <c r="AV103" i="2"/>
  <c r="AU103" i="2"/>
  <c r="AT103" i="2"/>
  <c r="AS103" i="2"/>
  <c r="AR103" i="2"/>
  <c r="AQ103" i="2"/>
  <c r="AP103" i="2"/>
  <c r="AO103" i="2"/>
  <c r="AN103" i="2"/>
  <c r="AM103" i="2"/>
  <c r="AL103" i="2"/>
  <c r="AK103" i="2"/>
  <c r="BI102" i="2"/>
  <c r="BH102" i="2"/>
  <c r="BG102" i="2"/>
  <c r="BF102" i="2"/>
  <c r="BE102" i="2"/>
  <c r="BD102" i="2"/>
  <c r="BC102" i="2"/>
  <c r="BB102" i="2"/>
  <c r="BA102" i="2"/>
  <c r="AZ102" i="2"/>
  <c r="AY102" i="2"/>
  <c r="AX102" i="2"/>
  <c r="AW102" i="2"/>
  <c r="AV102" i="2"/>
  <c r="AU102" i="2"/>
  <c r="AT102" i="2"/>
  <c r="AS102" i="2"/>
  <c r="AR102" i="2"/>
  <c r="AQ102" i="2"/>
  <c r="AP102" i="2"/>
  <c r="AO102" i="2"/>
  <c r="AN102" i="2"/>
  <c r="AM102" i="2"/>
  <c r="AL102" i="2"/>
  <c r="AK102" i="2"/>
  <c r="BI101" i="2"/>
  <c r="BH101" i="2"/>
  <c r="BG101" i="2"/>
  <c r="BF101" i="2"/>
  <c r="BE101" i="2"/>
  <c r="BD101" i="2"/>
  <c r="BC101" i="2"/>
  <c r="BB101" i="2"/>
  <c r="BA101" i="2"/>
  <c r="AZ101" i="2"/>
  <c r="AY101" i="2"/>
  <c r="AX101" i="2"/>
  <c r="AW101" i="2"/>
  <c r="AV101" i="2"/>
  <c r="AU101" i="2"/>
  <c r="AT101" i="2"/>
  <c r="AS101" i="2"/>
  <c r="AR101" i="2"/>
  <c r="AQ101" i="2"/>
  <c r="AP101" i="2"/>
  <c r="AO101" i="2"/>
  <c r="AN101" i="2"/>
  <c r="AM101" i="2"/>
  <c r="AL101" i="2"/>
  <c r="AK101" i="2"/>
  <c r="BI100" i="2"/>
  <c r="BH100" i="2"/>
  <c r="BG100" i="2"/>
  <c r="BF100" i="2"/>
  <c r="BE100" i="2"/>
  <c r="BD100" i="2"/>
  <c r="BC100" i="2"/>
  <c r="BB100" i="2"/>
  <c r="BA100" i="2"/>
  <c r="AZ100" i="2"/>
  <c r="AY100" i="2"/>
  <c r="AX100" i="2"/>
  <c r="AW100" i="2"/>
  <c r="AV100" i="2"/>
  <c r="AU100" i="2"/>
  <c r="AT100" i="2"/>
  <c r="AS100" i="2"/>
  <c r="AR100" i="2"/>
  <c r="AQ100" i="2"/>
  <c r="AP100" i="2"/>
  <c r="AO100" i="2"/>
  <c r="AN100" i="2"/>
  <c r="AM100" i="2"/>
  <c r="AL100" i="2"/>
  <c r="AK100" i="2"/>
  <c r="BI99" i="2"/>
  <c r="BH99" i="2"/>
  <c r="BG99" i="2"/>
  <c r="BF99" i="2"/>
  <c r="BE99" i="2"/>
  <c r="BD99" i="2"/>
  <c r="BC99" i="2"/>
  <c r="BB99" i="2"/>
  <c r="BA99" i="2"/>
  <c r="AZ99" i="2"/>
  <c r="AY99" i="2"/>
  <c r="AX99" i="2"/>
  <c r="AW99" i="2"/>
  <c r="AV99" i="2"/>
  <c r="AU99" i="2"/>
  <c r="AT99" i="2"/>
  <c r="AS99" i="2"/>
  <c r="AR99" i="2"/>
  <c r="AQ99" i="2"/>
  <c r="AP99" i="2"/>
  <c r="AO99" i="2"/>
  <c r="AN99" i="2"/>
  <c r="AM99" i="2"/>
  <c r="AL99" i="2"/>
  <c r="AK99" i="2"/>
  <c r="BI98" i="2"/>
  <c r="BH98" i="2"/>
  <c r="BG98" i="2"/>
  <c r="BF98" i="2"/>
  <c r="BE98" i="2"/>
  <c r="BD98" i="2"/>
  <c r="BC98" i="2"/>
  <c r="BB98" i="2"/>
  <c r="BA98" i="2"/>
  <c r="AZ98" i="2"/>
  <c r="AY98" i="2"/>
  <c r="AX98" i="2"/>
  <c r="AW98" i="2"/>
  <c r="AV98" i="2"/>
  <c r="AU98" i="2"/>
  <c r="AT98" i="2"/>
  <c r="AS98" i="2"/>
  <c r="AR98" i="2"/>
  <c r="AQ98" i="2"/>
  <c r="AP98" i="2"/>
  <c r="AO98" i="2"/>
  <c r="AN98" i="2"/>
  <c r="AM98" i="2"/>
  <c r="AL98" i="2"/>
  <c r="AK98" i="2"/>
  <c r="BI97" i="2"/>
  <c r="BH97" i="2"/>
  <c r="BG97" i="2"/>
  <c r="BF97" i="2"/>
  <c r="BE97" i="2"/>
  <c r="BD97" i="2"/>
  <c r="BC97" i="2"/>
  <c r="BB97" i="2"/>
  <c r="BA97" i="2"/>
  <c r="AZ97" i="2"/>
  <c r="AY97" i="2"/>
  <c r="AX97" i="2"/>
  <c r="AW97" i="2"/>
  <c r="AV97" i="2"/>
  <c r="AU97" i="2"/>
  <c r="AT97" i="2"/>
  <c r="AS97" i="2"/>
  <c r="AR97" i="2"/>
  <c r="AQ97" i="2"/>
  <c r="AP97" i="2"/>
  <c r="AO97" i="2"/>
  <c r="AN97" i="2"/>
  <c r="AM97" i="2"/>
  <c r="AL97" i="2"/>
  <c r="AK97" i="2"/>
  <c r="BI96" i="2"/>
  <c r="BH96" i="2"/>
  <c r="BG96" i="2"/>
  <c r="BF96" i="2"/>
  <c r="BE96" i="2"/>
  <c r="BD96" i="2"/>
  <c r="BC96" i="2"/>
  <c r="BB96" i="2"/>
  <c r="BA96" i="2"/>
  <c r="AZ96" i="2"/>
  <c r="AY96" i="2"/>
  <c r="AX96" i="2"/>
  <c r="AW96" i="2"/>
  <c r="AV96" i="2"/>
  <c r="AU96" i="2"/>
  <c r="AT96" i="2"/>
  <c r="AS96" i="2"/>
  <c r="AR96" i="2"/>
  <c r="AQ96" i="2"/>
  <c r="AP96" i="2"/>
  <c r="AO96" i="2"/>
  <c r="AN96" i="2"/>
  <c r="AM96" i="2"/>
  <c r="AL96" i="2"/>
  <c r="AK96" i="2"/>
  <c r="BI95" i="2"/>
  <c r="BH95" i="2"/>
  <c r="BG95" i="2"/>
  <c r="BF95" i="2"/>
  <c r="BE95" i="2"/>
  <c r="BD95" i="2"/>
  <c r="BC95" i="2"/>
  <c r="BB95" i="2"/>
  <c r="BA95" i="2"/>
  <c r="AZ95" i="2"/>
  <c r="AY95" i="2"/>
  <c r="AX95" i="2"/>
  <c r="AW95" i="2"/>
  <c r="AV95" i="2"/>
  <c r="AU95" i="2"/>
  <c r="AT95" i="2"/>
  <c r="AS95" i="2"/>
  <c r="AR95" i="2"/>
  <c r="AQ95" i="2"/>
  <c r="AP95" i="2"/>
  <c r="AO95" i="2"/>
  <c r="AN95" i="2"/>
  <c r="AM95" i="2"/>
  <c r="AL95" i="2"/>
  <c r="AK95" i="2"/>
  <c r="BI94" i="2"/>
  <c r="BH94" i="2"/>
  <c r="BG94" i="2"/>
  <c r="BF94" i="2"/>
  <c r="BE94" i="2"/>
  <c r="BD94" i="2"/>
  <c r="BC94" i="2"/>
  <c r="BB94" i="2"/>
  <c r="BA94" i="2"/>
  <c r="AZ94" i="2"/>
  <c r="AY94" i="2"/>
  <c r="AX94" i="2"/>
  <c r="AW94" i="2"/>
  <c r="AV94" i="2"/>
  <c r="AU94" i="2"/>
  <c r="AT94" i="2"/>
  <c r="AS94" i="2"/>
  <c r="AR94" i="2"/>
  <c r="AQ94" i="2"/>
  <c r="AP94" i="2"/>
  <c r="AO94" i="2"/>
  <c r="AN94" i="2"/>
  <c r="AM94" i="2"/>
  <c r="AL94" i="2"/>
  <c r="AK94" i="2"/>
  <c r="BI93" i="2"/>
  <c r="BH93" i="2"/>
  <c r="BG93" i="2"/>
  <c r="BF93" i="2"/>
  <c r="BE93" i="2"/>
  <c r="BD93" i="2"/>
  <c r="BC93" i="2"/>
  <c r="BB93" i="2"/>
  <c r="BA93" i="2"/>
  <c r="AZ93" i="2"/>
  <c r="AY93" i="2"/>
  <c r="AX93" i="2"/>
  <c r="AW93" i="2"/>
  <c r="AV93" i="2"/>
  <c r="AU93" i="2"/>
  <c r="AT93" i="2"/>
  <c r="AS93" i="2"/>
  <c r="AR93" i="2"/>
  <c r="AQ93" i="2"/>
  <c r="AP93" i="2"/>
  <c r="AO93" i="2"/>
  <c r="AN93" i="2"/>
  <c r="AM93" i="2"/>
  <c r="AL93" i="2"/>
  <c r="AK93" i="2"/>
  <c r="BI92" i="2"/>
  <c r="BH92" i="2"/>
  <c r="BG92" i="2"/>
  <c r="BF92" i="2"/>
  <c r="BE92" i="2"/>
  <c r="BD92" i="2"/>
  <c r="BC92" i="2"/>
  <c r="BB92" i="2"/>
  <c r="BA92" i="2"/>
  <c r="AZ92" i="2"/>
  <c r="AY92" i="2"/>
  <c r="AX92" i="2"/>
  <c r="AW92" i="2"/>
  <c r="AV92" i="2"/>
  <c r="AU92" i="2"/>
  <c r="AT92" i="2"/>
  <c r="AS92" i="2"/>
  <c r="AR92" i="2"/>
  <c r="AQ92" i="2"/>
  <c r="AP92" i="2"/>
  <c r="AO92" i="2"/>
  <c r="AN92" i="2"/>
  <c r="AM92" i="2"/>
  <c r="AL92" i="2"/>
  <c r="AK92" i="2"/>
  <c r="BI91" i="2"/>
  <c r="BH91" i="2"/>
  <c r="BG91" i="2"/>
  <c r="BF91" i="2"/>
  <c r="BE91" i="2"/>
  <c r="BD91" i="2"/>
  <c r="BC91" i="2"/>
  <c r="BB91" i="2"/>
  <c r="BA91" i="2"/>
  <c r="AZ91" i="2"/>
  <c r="AY91" i="2"/>
  <c r="AX91" i="2"/>
  <c r="AW91" i="2"/>
  <c r="AV91" i="2"/>
  <c r="AU91" i="2"/>
  <c r="AT91" i="2"/>
  <c r="AS91" i="2"/>
  <c r="AR91" i="2"/>
  <c r="AQ91" i="2"/>
  <c r="AP91" i="2"/>
  <c r="AO91" i="2"/>
  <c r="AN91" i="2"/>
  <c r="AM91" i="2"/>
  <c r="AL91" i="2"/>
  <c r="AK91" i="2"/>
  <c r="BI90" i="2"/>
  <c r="BH90" i="2"/>
  <c r="BG90" i="2"/>
  <c r="BF90" i="2"/>
  <c r="BE90" i="2"/>
  <c r="BD90" i="2"/>
  <c r="BC90" i="2"/>
  <c r="BB90" i="2"/>
  <c r="BA90" i="2"/>
  <c r="AZ90" i="2"/>
  <c r="AY90" i="2"/>
  <c r="AX90" i="2"/>
  <c r="AW90" i="2"/>
  <c r="AV90" i="2"/>
  <c r="AU90" i="2"/>
  <c r="AT90" i="2"/>
  <c r="AS90" i="2"/>
  <c r="AR90" i="2"/>
  <c r="AQ90" i="2"/>
  <c r="AP90" i="2"/>
  <c r="AO90" i="2"/>
  <c r="AN90" i="2"/>
  <c r="AM90" i="2"/>
  <c r="AL90" i="2"/>
  <c r="AK90" i="2"/>
  <c r="BI89" i="2"/>
  <c r="BH89" i="2"/>
  <c r="BG89" i="2"/>
  <c r="BF89" i="2"/>
  <c r="BE89" i="2"/>
  <c r="BD89" i="2"/>
  <c r="BC89" i="2"/>
  <c r="BB89" i="2"/>
  <c r="BA89" i="2"/>
  <c r="AZ89" i="2"/>
  <c r="AY89" i="2"/>
  <c r="AX89" i="2"/>
  <c r="AW89" i="2"/>
  <c r="AV89" i="2"/>
  <c r="AU89" i="2"/>
  <c r="AT89" i="2"/>
  <c r="AS89" i="2"/>
  <c r="AR89" i="2"/>
  <c r="AQ89" i="2"/>
  <c r="AP89" i="2"/>
  <c r="AO89" i="2"/>
  <c r="AN89" i="2"/>
  <c r="AM89" i="2"/>
  <c r="AL89" i="2"/>
  <c r="AK89" i="2"/>
  <c r="BI88" i="2"/>
  <c r="BH88" i="2"/>
  <c r="BG88" i="2"/>
  <c r="BF88" i="2"/>
  <c r="BE88" i="2"/>
  <c r="BD88" i="2"/>
  <c r="BC88" i="2"/>
  <c r="BB88" i="2"/>
  <c r="BA88" i="2"/>
  <c r="AZ88" i="2"/>
  <c r="AY88" i="2"/>
  <c r="AX88" i="2"/>
  <c r="AW88" i="2"/>
  <c r="AV88" i="2"/>
  <c r="AU88" i="2"/>
  <c r="AT88" i="2"/>
  <c r="AS88" i="2"/>
  <c r="AR88" i="2"/>
  <c r="AQ88" i="2"/>
  <c r="AP88" i="2"/>
  <c r="AO88" i="2"/>
  <c r="AN88" i="2"/>
  <c r="AM88" i="2"/>
  <c r="AL88" i="2"/>
  <c r="AK88" i="2"/>
  <c r="BI87" i="2"/>
  <c r="BH87" i="2"/>
  <c r="BG87" i="2"/>
  <c r="BF87" i="2"/>
  <c r="BE87" i="2"/>
  <c r="BD87" i="2"/>
  <c r="BC87" i="2"/>
  <c r="BB87" i="2"/>
  <c r="BA87" i="2"/>
  <c r="AZ87" i="2"/>
  <c r="AY87" i="2"/>
  <c r="AX87" i="2"/>
  <c r="AW87" i="2"/>
  <c r="AV87" i="2"/>
  <c r="AU87" i="2"/>
  <c r="AT87" i="2"/>
  <c r="AS87" i="2"/>
  <c r="AR87" i="2"/>
  <c r="AQ87" i="2"/>
  <c r="AP87" i="2"/>
  <c r="AO87" i="2"/>
  <c r="AN87" i="2"/>
  <c r="AM87" i="2"/>
  <c r="AL87" i="2"/>
  <c r="AK87" i="2"/>
  <c r="BI86" i="2"/>
  <c r="BH86" i="2"/>
  <c r="BG86" i="2"/>
  <c r="BF86" i="2"/>
  <c r="BE86" i="2"/>
  <c r="BD86" i="2"/>
  <c r="BC86" i="2"/>
  <c r="BB86" i="2"/>
  <c r="BA86" i="2"/>
  <c r="AZ86" i="2"/>
  <c r="AY86" i="2"/>
  <c r="AX86" i="2"/>
  <c r="AW86" i="2"/>
  <c r="AV86" i="2"/>
  <c r="AU86" i="2"/>
  <c r="AT86" i="2"/>
  <c r="AS86" i="2"/>
  <c r="AR86" i="2"/>
  <c r="AQ86" i="2"/>
  <c r="AP86" i="2"/>
  <c r="AO86" i="2"/>
  <c r="AN86" i="2"/>
  <c r="AM86" i="2"/>
  <c r="AL86" i="2"/>
  <c r="AK86" i="2"/>
  <c r="BI85" i="2"/>
  <c r="BH85" i="2"/>
  <c r="BG85" i="2"/>
  <c r="BF85" i="2"/>
  <c r="BE85" i="2"/>
  <c r="BD85" i="2"/>
  <c r="BC85" i="2"/>
  <c r="BB85" i="2"/>
  <c r="BA85" i="2"/>
  <c r="AZ85" i="2"/>
  <c r="AY85" i="2"/>
  <c r="AX85" i="2"/>
  <c r="AW85" i="2"/>
  <c r="AV85" i="2"/>
  <c r="AU85" i="2"/>
  <c r="AT85" i="2"/>
  <c r="AS85" i="2"/>
  <c r="AR85" i="2"/>
  <c r="AQ85" i="2"/>
  <c r="AP85" i="2"/>
  <c r="AO85" i="2"/>
  <c r="AN85" i="2"/>
  <c r="AM85" i="2"/>
  <c r="AL85" i="2"/>
  <c r="AK85" i="2"/>
  <c r="BI84" i="2"/>
  <c r="BH84" i="2"/>
  <c r="BG84" i="2"/>
  <c r="BF84" i="2"/>
  <c r="BE84" i="2"/>
  <c r="BD84" i="2"/>
  <c r="BC84" i="2"/>
  <c r="BB84" i="2"/>
  <c r="BA84" i="2"/>
  <c r="AZ84" i="2"/>
  <c r="AY84" i="2"/>
  <c r="AX84" i="2"/>
  <c r="AW84" i="2"/>
  <c r="AV84" i="2"/>
  <c r="AU84" i="2"/>
  <c r="AT84" i="2"/>
  <c r="AS84" i="2"/>
  <c r="AR84" i="2"/>
  <c r="AQ84" i="2"/>
  <c r="AP84" i="2"/>
  <c r="AO84" i="2"/>
  <c r="AN84" i="2"/>
  <c r="AM84" i="2"/>
  <c r="AL84" i="2"/>
  <c r="AK84" i="2"/>
  <c r="BI83" i="2"/>
  <c r="BH83" i="2"/>
  <c r="BG83" i="2"/>
  <c r="BF83" i="2"/>
  <c r="BE83" i="2"/>
  <c r="BD83" i="2"/>
  <c r="BC83" i="2"/>
  <c r="BB83" i="2"/>
  <c r="BA83" i="2"/>
  <c r="AZ83" i="2"/>
  <c r="AY83" i="2"/>
  <c r="AX83" i="2"/>
  <c r="AW83" i="2"/>
  <c r="AV83" i="2"/>
  <c r="AU83" i="2"/>
  <c r="AT83" i="2"/>
  <c r="AS83" i="2"/>
  <c r="AR83" i="2"/>
  <c r="AQ83" i="2"/>
  <c r="AP83" i="2"/>
  <c r="AO83" i="2"/>
  <c r="AN83" i="2"/>
  <c r="AM83" i="2"/>
  <c r="AL83" i="2"/>
  <c r="AK83" i="2"/>
  <c r="BI82" i="2"/>
  <c r="BH82" i="2"/>
  <c r="BG82" i="2"/>
  <c r="BF82" i="2"/>
  <c r="BE82" i="2"/>
  <c r="BD82" i="2"/>
  <c r="BC82" i="2"/>
  <c r="BB82" i="2"/>
  <c r="BA82" i="2"/>
  <c r="AZ82" i="2"/>
  <c r="AY82" i="2"/>
  <c r="AX82" i="2"/>
  <c r="AW82" i="2"/>
  <c r="AV82" i="2"/>
  <c r="AU82" i="2"/>
  <c r="AT82" i="2"/>
  <c r="AS82" i="2"/>
  <c r="AR82" i="2"/>
  <c r="AQ82" i="2"/>
  <c r="AP82" i="2"/>
  <c r="AO82" i="2"/>
  <c r="AN82" i="2"/>
  <c r="AM82" i="2"/>
  <c r="AL82" i="2"/>
  <c r="AK82" i="2"/>
  <c r="BI81" i="2"/>
  <c r="BH81" i="2"/>
  <c r="BG81" i="2"/>
  <c r="BF81" i="2"/>
  <c r="BE81" i="2"/>
  <c r="BD81" i="2"/>
  <c r="BC81" i="2"/>
  <c r="BB81" i="2"/>
  <c r="BA81" i="2"/>
  <c r="AZ81" i="2"/>
  <c r="AY81" i="2"/>
  <c r="AX81" i="2"/>
  <c r="AW81" i="2"/>
  <c r="AV81" i="2"/>
  <c r="AU81" i="2"/>
  <c r="AT81" i="2"/>
  <c r="AS81" i="2"/>
  <c r="AR81" i="2"/>
  <c r="AQ81" i="2"/>
  <c r="AP81" i="2"/>
  <c r="AO81" i="2"/>
  <c r="AN81" i="2"/>
  <c r="AM81" i="2"/>
  <c r="AL81" i="2"/>
  <c r="AK81" i="2"/>
  <c r="BI80" i="2"/>
  <c r="BH80" i="2"/>
  <c r="BG80" i="2"/>
  <c r="BF80" i="2"/>
  <c r="BE80" i="2"/>
  <c r="BD80" i="2"/>
  <c r="BC80" i="2"/>
  <c r="BB80" i="2"/>
  <c r="BA80" i="2"/>
  <c r="AZ80" i="2"/>
  <c r="AY80" i="2"/>
  <c r="AX80" i="2"/>
  <c r="AW80" i="2"/>
  <c r="AV80" i="2"/>
  <c r="AU80" i="2"/>
  <c r="AT80" i="2"/>
  <c r="AS80" i="2"/>
  <c r="AR80" i="2"/>
  <c r="AQ80" i="2"/>
  <c r="AP80" i="2"/>
  <c r="AO80" i="2"/>
  <c r="AN80" i="2"/>
  <c r="AM80" i="2"/>
  <c r="AL80" i="2"/>
  <c r="AK80" i="2"/>
  <c r="BI79" i="2"/>
  <c r="BH79" i="2"/>
  <c r="BG79" i="2"/>
  <c r="BF79" i="2"/>
  <c r="BE79" i="2"/>
  <c r="BD79" i="2"/>
  <c r="BC79" i="2"/>
  <c r="BB79" i="2"/>
  <c r="BA79" i="2"/>
  <c r="AZ79" i="2"/>
  <c r="AY79" i="2"/>
  <c r="AX79" i="2"/>
  <c r="AW79" i="2"/>
  <c r="AV79" i="2"/>
  <c r="AU79" i="2"/>
  <c r="AT79" i="2"/>
  <c r="AS79" i="2"/>
  <c r="AR79" i="2"/>
  <c r="AQ79" i="2"/>
  <c r="AP79" i="2"/>
  <c r="AO79" i="2"/>
  <c r="AN79" i="2"/>
  <c r="AM79" i="2"/>
  <c r="AL79" i="2"/>
  <c r="AK79" i="2"/>
  <c r="BI78" i="2"/>
  <c r="BH78" i="2"/>
  <c r="BG78" i="2"/>
  <c r="BF78" i="2"/>
  <c r="BE78" i="2"/>
  <c r="BD78" i="2"/>
  <c r="BC78" i="2"/>
  <c r="BB78" i="2"/>
  <c r="BA78" i="2"/>
  <c r="AZ78" i="2"/>
  <c r="AY78" i="2"/>
  <c r="AX78" i="2"/>
  <c r="AW78" i="2"/>
  <c r="AV78" i="2"/>
  <c r="AU78" i="2"/>
  <c r="AT78" i="2"/>
  <c r="AS78" i="2"/>
  <c r="AR78" i="2"/>
  <c r="AQ78" i="2"/>
  <c r="AP78" i="2"/>
  <c r="AO78" i="2"/>
  <c r="AN78" i="2"/>
  <c r="AM78" i="2"/>
  <c r="AL78" i="2"/>
  <c r="AK78" i="2"/>
  <c r="BI77" i="2"/>
  <c r="BH77" i="2"/>
  <c r="BG77" i="2"/>
  <c r="BF77" i="2"/>
  <c r="BE77" i="2"/>
  <c r="BD77" i="2"/>
  <c r="BC77" i="2"/>
  <c r="BB77" i="2"/>
  <c r="BA77" i="2"/>
  <c r="AZ77" i="2"/>
  <c r="AY77" i="2"/>
  <c r="AX77" i="2"/>
  <c r="AW77" i="2"/>
  <c r="AV77" i="2"/>
  <c r="AU77" i="2"/>
  <c r="AT77" i="2"/>
  <c r="AS77" i="2"/>
  <c r="AR77" i="2"/>
  <c r="AQ77" i="2"/>
  <c r="AP77" i="2"/>
  <c r="AO77" i="2"/>
  <c r="AN77" i="2"/>
  <c r="AM77" i="2"/>
  <c r="AL77" i="2"/>
  <c r="AK77" i="2"/>
  <c r="BI76" i="2"/>
  <c r="BH76" i="2"/>
  <c r="BG76" i="2"/>
  <c r="BF76" i="2"/>
  <c r="BE76" i="2"/>
  <c r="BD76" i="2"/>
  <c r="BC76" i="2"/>
  <c r="BB76" i="2"/>
  <c r="BA76" i="2"/>
  <c r="AZ76" i="2"/>
  <c r="AY76" i="2"/>
  <c r="AX76" i="2"/>
  <c r="AW76" i="2"/>
  <c r="AV76" i="2"/>
  <c r="AU76" i="2"/>
  <c r="AT76" i="2"/>
  <c r="AS76" i="2"/>
  <c r="AR76" i="2"/>
  <c r="AQ76" i="2"/>
  <c r="AP76" i="2"/>
  <c r="AO76" i="2"/>
  <c r="AN76" i="2"/>
  <c r="AM76" i="2"/>
  <c r="AL76" i="2"/>
  <c r="AK76" i="2"/>
  <c r="BI75" i="2"/>
  <c r="BH75" i="2"/>
  <c r="BG75" i="2"/>
  <c r="BF75" i="2"/>
  <c r="BE75" i="2"/>
  <c r="BD75" i="2"/>
  <c r="BC75" i="2"/>
  <c r="BB75" i="2"/>
  <c r="BA75" i="2"/>
  <c r="AZ75" i="2"/>
  <c r="AY75" i="2"/>
  <c r="AX75" i="2"/>
  <c r="AW75" i="2"/>
  <c r="AV75" i="2"/>
  <c r="AU75" i="2"/>
  <c r="AT75" i="2"/>
  <c r="AS75" i="2"/>
  <c r="AR75" i="2"/>
  <c r="AQ75" i="2"/>
  <c r="AP75" i="2"/>
  <c r="AO75" i="2"/>
  <c r="AN75" i="2"/>
  <c r="AM75" i="2"/>
  <c r="AL75" i="2"/>
  <c r="AK75" i="2"/>
  <c r="BI74" i="2"/>
  <c r="BH74" i="2"/>
  <c r="BG74" i="2"/>
  <c r="BF74" i="2"/>
  <c r="BE74" i="2"/>
  <c r="BD74" i="2"/>
  <c r="BC74" i="2"/>
  <c r="BB74" i="2"/>
  <c r="BA74" i="2"/>
  <c r="AZ74" i="2"/>
  <c r="AY74" i="2"/>
  <c r="AX74" i="2"/>
  <c r="AW74" i="2"/>
  <c r="AV74" i="2"/>
  <c r="AU74" i="2"/>
  <c r="AT74" i="2"/>
  <c r="AS74" i="2"/>
  <c r="AR74" i="2"/>
  <c r="AQ74" i="2"/>
  <c r="AP74" i="2"/>
  <c r="AO74" i="2"/>
  <c r="AN74" i="2"/>
  <c r="AM74" i="2"/>
  <c r="AL74" i="2"/>
  <c r="AK74" i="2"/>
  <c r="BI73" i="2"/>
  <c r="BH73" i="2"/>
  <c r="BG73" i="2"/>
  <c r="BF73" i="2"/>
  <c r="BE73" i="2"/>
  <c r="BD73" i="2"/>
  <c r="BC73" i="2"/>
  <c r="BB73" i="2"/>
  <c r="BA73" i="2"/>
  <c r="AZ73" i="2"/>
  <c r="AY73" i="2"/>
  <c r="AX73" i="2"/>
  <c r="AW73" i="2"/>
  <c r="AV73" i="2"/>
  <c r="AU73" i="2"/>
  <c r="AT73" i="2"/>
  <c r="AS73" i="2"/>
  <c r="AR73" i="2"/>
  <c r="AQ73" i="2"/>
  <c r="AP73" i="2"/>
  <c r="AO73" i="2"/>
  <c r="AN73" i="2"/>
  <c r="AM73" i="2"/>
  <c r="AL73" i="2"/>
  <c r="AK73" i="2"/>
  <c r="BI72" i="2"/>
  <c r="BH72" i="2"/>
  <c r="BG72" i="2"/>
  <c r="BF72" i="2"/>
  <c r="BE72" i="2"/>
  <c r="BD72" i="2"/>
  <c r="BC72" i="2"/>
  <c r="BB72" i="2"/>
  <c r="BA72" i="2"/>
  <c r="AZ72" i="2"/>
  <c r="AY72" i="2"/>
  <c r="AX72" i="2"/>
  <c r="AW72" i="2"/>
  <c r="AV72" i="2"/>
  <c r="AU72" i="2"/>
  <c r="AT72" i="2"/>
  <c r="AS72" i="2"/>
  <c r="AR72" i="2"/>
  <c r="AQ72" i="2"/>
  <c r="AP72" i="2"/>
  <c r="AO72" i="2"/>
  <c r="AN72" i="2"/>
  <c r="AM72" i="2"/>
  <c r="AL72" i="2"/>
  <c r="AK72" i="2"/>
  <c r="BI71" i="2"/>
  <c r="BH71" i="2"/>
  <c r="BG71" i="2"/>
  <c r="BF71" i="2"/>
  <c r="BE71" i="2"/>
  <c r="BD71" i="2"/>
  <c r="BC71" i="2"/>
  <c r="BB71" i="2"/>
  <c r="BA71" i="2"/>
  <c r="AZ71" i="2"/>
  <c r="AY71" i="2"/>
  <c r="AX71" i="2"/>
  <c r="AW71" i="2"/>
  <c r="AV71" i="2"/>
  <c r="AU71" i="2"/>
  <c r="AT71" i="2"/>
  <c r="AS71" i="2"/>
  <c r="AR71" i="2"/>
  <c r="AQ71" i="2"/>
  <c r="AP71" i="2"/>
  <c r="AO71" i="2"/>
  <c r="AN71" i="2"/>
  <c r="AM71" i="2"/>
  <c r="AL71" i="2"/>
  <c r="AK71" i="2"/>
  <c r="BI70" i="2"/>
  <c r="BH70" i="2"/>
  <c r="BG70" i="2"/>
  <c r="BF70" i="2"/>
  <c r="BE70" i="2"/>
  <c r="BD70" i="2"/>
  <c r="BC70" i="2"/>
  <c r="BB70" i="2"/>
  <c r="BA70" i="2"/>
  <c r="AZ70" i="2"/>
  <c r="AY70" i="2"/>
  <c r="AX70" i="2"/>
  <c r="AW70" i="2"/>
  <c r="AV70" i="2"/>
  <c r="AU70" i="2"/>
  <c r="AT70" i="2"/>
  <c r="AS70" i="2"/>
  <c r="AR70" i="2"/>
  <c r="AQ70" i="2"/>
  <c r="AP70" i="2"/>
  <c r="AO70" i="2"/>
  <c r="AN70" i="2"/>
  <c r="AM70" i="2"/>
  <c r="AL70" i="2"/>
  <c r="AK70" i="2"/>
  <c r="BI69" i="2"/>
  <c r="BH69" i="2"/>
  <c r="BG69" i="2"/>
  <c r="BF69" i="2"/>
  <c r="BE69" i="2"/>
  <c r="BD69" i="2"/>
  <c r="BC69" i="2"/>
  <c r="BB69" i="2"/>
  <c r="BA69" i="2"/>
  <c r="AZ69" i="2"/>
  <c r="AY69" i="2"/>
  <c r="AX69" i="2"/>
  <c r="AW69" i="2"/>
  <c r="AV69" i="2"/>
  <c r="AU69" i="2"/>
  <c r="AT69" i="2"/>
  <c r="AS69" i="2"/>
  <c r="AR69" i="2"/>
  <c r="AQ69" i="2"/>
  <c r="AP69" i="2"/>
  <c r="AO69" i="2"/>
  <c r="AN69" i="2"/>
  <c r="AM69" i="2"/>
  <c r="AL69" i="2"/>
  <c r="AK69" i="2"/>
  <c r="BI68" i="2"/>
  <c r="BH68" i="2"/>
  <c r="BG68" i="2"/>
  <c r="BF68" i="2"/>
  <c r="BE68" i="2"/>
  <c r="BD68" i="2"/>
  <c r="BC68" i="2"/>
  <c r="BB68" i="2"/>
  <c r="BA68" i="2"/>
  <c r="AZ68" i="2"/>
  <c r="AY68" i="2"/>
  <c r="AX68" i="2"/>
  <c r="AW68" i="2"/>
  <c r="AV68" i="2"/>
  <c r="AU68" i="2"/>
  <c r="AT68" i="2"/>
  <c r="AS68" i="2"/>
  <c r="AR68" i="2"/>
  <c r="AQ68" i="2"/>
  <c r="AP68" i="2"/>
  <c r="AO68" i="2"/>
  <c r="AN68" i="2"/>
  <c r="AM68" i="2"/>
  <c r="AL68" i="2"/>
  <c r="AK68" i="2"/>
  <c r="BI67" i="2"/>
  <c r="BH67" i="2"/>
  <c r="BG67" i="2"/>
  <c r="BF67" i="2"/>
  <c r="BE67" i="2"/>
  <c r="BD67" i="2"/>
  <c r="BC67" i="2"/>
  <c r="BB67" i="2"/>
  <c r="BA67" i="2"/>
  <c r="AZ67" i="2"/>
  <c r="AY67" i="2"/>
  <c r="AX67" i="2"/>
  <c r="AW67" i="2"/>
  <c r="AV67" i="2"/>
  <c r="AU67" i="2"/>
  <c r="AT67" i="2"/>
  <c r="AS67" i="2"/>
  <c r="AR67" i="2"/>
  <c r="AQ67" i="2"/>
  <c r="AP67" i="2"/>
  <c r="AO67" i="2"/>
  <c r="AN67" i="2"/>
  <c r="AM67" i="2"/>
  <c r="AL67" i="2"/>
  <c r="AK67" i="2"/>
  <c r="BI66" i="2"/>
  <c r="BH66" i="2"/>
  <c r="BG66" i="2"/>
  <c r="BF66" i="2"/>
  <c r="BE66" i="2"/>
  <c r="BD66" i="2"/>
  <c r="BC66" i="2"/>
  <c r="BB66" i="2"/>
  <c r="BA66" i="2"/>
  <c r="AZ66" i="2"/>
  <c r="AY66" i="2"/>
  <c r="AX66" i="2"/>
  <c r="AW66" i="2"/>
  <c r="AV66" i="2"/>
  <c r="AU66" i="2"/>
  <c r="AT66" i="2"/>
  <c r="AS66" i="2"/>
  <c r="AR66" i="2"/>
  <c r="AQ66" i="2"/>
  <c r="AP66" i="2"/>
  <c r="AO66" i="2"/>
  <c r="AN66" i="2"/>
  <c r="AM66" i="2"/>
  <c r="AL66" i="2"/>
  <c r="AK66" i="2"/>
  <c r="BI65" i="2"/>
  <c r="BH65" i="2"/>
  <c r="BG65" i="2"/>
  <c r="BF65" i="2"/>
  <c r="BE65" i="2"/>
  <c r="BD65" i="2"/>
  <c r="BC65" i="2"/>
  <c r="BB65" i="2"/>
  <c r="BA65" i="2"/>
  <c r="AZ65" i="2"/>
  <c r="AY65" i="2"/>
  <c r="AX65" i="2"/>
  <c r="AW65" i="2"/>
  <c r="AV65" i="2"/>
  <c r="AU65" i="2"/>
  <c r="AT65" i="2"/>
  <c r="AS65" i="2"/>
  <c r="AR65" i="2"/>
  <c r="AQ65" i="2"/>
  <c r="AP65" i="2"/>
  <c r="AO65" i="2"/>
  <c r="AN65" i="2"/>
  <c r="AM65" i="2"/>
  <c r="AL65" i="2"/>
  <c r="AK65" i="2"/>
  <c r="BI64" i="2"/>
  <c r="BH64" i="2"/>
  <c r="BG64" i="2"/>
  <c r="BF64" i="2"/>
  <c r="BE64" i="2"/>
  <c r="BD64" i="2"/>
  <c r="BC64" i="2"/>
  <c r="BB64" i="2"/>
  <c r="BA64" i="2"/>
  <c r="AZ64" i="2"/>
  <c r="AY64" i="2"/>
  <c r="AX64" i="2"/>
  <c r="AW64" i="2"/>
  <c r="AV64" i="2"/>
  <c r="AU64" i="2"/>
  <c r="AT64" i="2"/>
  <c r="AS64" i="2"/>
  <c r="AR64" i="2"/>
  <c r="AQ64" i="2"/>
  <c r="AP64" i="2"/>
  <c r="AO64" i="2"/>
  <c r="AN64" i="2"/>
  <c r="AM64" i="2"/>
  <c r="AL64" i="2"/>
  <c r="AK64" i="2"/>
  <c r="BI63" i="2"/>
  <c r="BH63" i="2"/>
  <c r="BG63" i="2"/>
  <c r="BF63" i="2"/>
  <c r="BE63" i="2"/>
  <c r="BD63" i="2"/>
  <c r="BC63" i="2"/>
  <c r="BB63" i="2"/>
  <c r="BA63" i="2"/>
  <c r="AZ63" i="2"/>
  <c r="AY63" i="2"/>
  <c r="AX63" i="2"/>
  <c r="AW63" i="2"/>
  <c r="AV63" i="2"/>
  <c r="AU63" i="2"/>
  <c r="AT63" i="2"/>
  <c r="AS63" i="2"/>
  <c r="AR63" i="2"/>
  <c r="AQ63" i="2"/>
  <c r="AP63" i="2"/>
  <c r="AO63" i="2"/>
  <c r="AN63" i="2"/>
  <c r="AM63" i="2"/>
  <c r="AL63" i="2"/>
  <c r="AK63" i="2"/>
  <c r="BI62" i="2"/>
  <c r="BH62" i="2"/>
  <c r="BG62" i="2"/>
  <c r="BF62" i="2"/>
  <c r="BE62" i="2"/>
  <c r="BD62" i="2"/>
  <c r="BC62" i="2"/>
  <c r="BB62" i="2"/>
  <c r="BA62" i="2"/>
  <c r="AZ62" i="2"/>
  <c r="AY62" i="2"/>
  <c r="AX62" i="2"/>
  <c r="AW62" i="2"/>
  <c r="AV62" i="2"/>
  <c r="AU62" i="2"/>
  <c r="AT62" i="2"/>
  <c r="AS62" i="2"/>
  <c r="AR62" i="2"/>
  <c r="AQ62" i="2"/>
  <c r="AP62" i="2"/>
  <c r="AO62" i="2"/>
  <c r="AN62" i="2"/>
  <c r="AM62" i="2"/>
  <c r="AL62" i="2"/>
  <c r="AK62" i="2"/>
  <c r="BI61" i="2"/>
  <c r="BH61" i="2"/>
  <c r="BG61" i="2"/>
  <c r="BF61" i="2"/>
  <c r="BE61" i="2"/>
  <c r="BD61" i="2"/>
  <c r="BC61" i="2"/>
  <c r="BB61" i="2"/>
  <c r="BA61" i="2"/>
  <c r="AZ61" i="2"/>
  <c r="AY61" i="2"/>
  <c r="AX61" i="2"/>
  <c r="AW61" i="2"/>
  <c r="AV61" i="2"/>
  <c r="AU61" i="2"/>
  <c r="AT61" i="2"/>
  <c r="AS61" i="2"/>
  <c r="AR61" i="2"/>
  <c r="AQ61" i="2"/>
  <c r="AP61" i="2"/>
  <c r="AO61" i="2"/>
  <c r="AN61" i="2"/>
  <c r="AM61" i="2"/>
  <c r="AL61" i="2"/>
  <c r="AK61" i="2"/>
  <c r="BI60" i="2"/>
  <c r="BH60" i="2"/>
  <c r="BG60" i="2"/>
  <c r="BF60" i="2"/>
  <c r="BE60" i="2"/>
  <c r="BD60" i="2"/>
  <c r="BC60" i="2"/>
  <c r="BB60" i="2"/>
  <c r="BA60" i="2"/>
  <c r="AZ60" i="2"/>
  <c r="AY60" i="2"/>
  <c r="AX60" i="2"/>
  <c r="AW60" i="2"/>
  <c r="AV60" i="2"/>
  <c r="AU60" i="2"/>
  <c r="AT60" i="2"/>
  <c r="AS60" i="2"/>
  <c r="AR60" i="2"/>
  <c r="AQ60" i="2"/>
  <c r="AP60" i="2"/>
  <c r="AO60" i="2"/>
  <c r="AN60" i="2"/>
  <c r="AM60" i="2"/>
  <c r="AL60" i="2"/>
  <c r="AK60" i="2"/>
  <c r="BI59" i="2"/>
  <c r="BH59" i="2"/>
  <c r="BG59" i="2"/>
  <c r="BF59" i="2"/>
  <c r="BE59" i="2"/>
  <c r="BD59" i="2"/>
  <c r="BC59" i="2"/>
  <c r="BB59" i="2"/>
  <c r="BA59" i="2"/>
  <c r="AZ59" i="2"/>
  <c r="AY59" i="2"/>
  <c r="AX59" i="2"/>
  <c r="AW59" i="2"/>
  <c r="AV59" i="2"/>
  <c r="AU59" i="2"/>
  <c r="AT59" i="2"/>
  <c r="AS59" i="2"/>
  <c r="AR59" i="2"/>
  <c r="AQ59" i="2"/>
  <c r="AP59" i="2"/>
  <c r="AO59" i="2"/>
  <c r="AN59" i="2"/>
  <c r="AM59" i="2"/>
  <c r="AL59" i="2"/>
  <c r="AK59" i="2"/>
  <c r="BI58" i="2"/>
  <c r="BH58" i="2"/>
  <c r="BG58" i="2"/>
  <c r="BF58" i="2"/>
  <c r="BE58" i="2"/>
  <c r="BD58" i="2"/>
  <c r="BC58" i="2"/>
  <c r="BB58" i="2"/>
  <c r="BA58" i="2"/>
  <c r="AZ58" i="2"/>
  <c r="AY58" i="2"/>
  <c r="AX58" i="2"/>
  <c r="AW58" i="2"/>
  <c r="AV58" i="2"/>
  <c r="AU58" i="2"/>
  <c r="AT58" i="2"/>
  <c r="AS58" i="2"/>
  <c r="AR58" i="2"/>
  <c r="AQ58" i="2"/>
  <c r="AP58" i="2"/>
  <c r="AO58" i="2"/>
  <c r="AN58" i="2"/>
  <c r="AM58" i="2"/>
  <c r="AL58" i="2"/>
  <c r="AK58" i="2"/>
  <c r="BI57" i="2"/>
  <c r="BH57" i="2"/>
  <c r="BG57" i="2"/>
  <c r="BF57" i="2"/>
  <c r="BE57" i="2"/>
  <c r="BD57" i="2"/>
  <c r="BC57" i="2"/>
  <c r="BB57" i="2"/>
  <c r="BA57" i="2"/>
  <c r="AZ57" i="2"/>
  <c r="AY57" i="2"/>
  <c r="AX57" i="2"/>
  <c r="AW57" i="2"/>
  <c r="AV57" i="2"/>
  <c r="AU57" i="2"/>
  <c r="AT57" i="2"/>
  <c r="AS57" i="2"/>
  <c r="AR57" i="2"/>
  <c r="AQ57" i="2"/>
  <c r="AP57" i="2"/>
  <c r="AO57" i="2"/>
  <c r="AN57" i="2"/>
  <c r="AM57" i="2"/>
  <c r="AL57" i="2"/>
  <c r="AK57" i="2"/>
  <c r="BI56" i="2"/>
  <c r="BH56" i="2"/>
  <c r="BG56" i="2"/>
  <c r="BF56" i="2"/>
  <c r="BE56" i="2"/>
  <c r="BD56" i="2"/>
  <c r="BC56" i="2"/>
  <c r="BB56" i="2"/>
  <c r="BA56" i="2"/>
  <c r="AZ56" i="2"/>
  <c r="AY56" i="2"/>
  <c r="AX56" i="2"/>
  <c r="AW56" i="2"/>
  <c r="AV56" i="2"/>
  <c r="AU56" i="2"/>
  <c r="AT56" i="2"/>
  <c r="AS56" i="2"/>
  <c r="AR56" i="2"/>
  <c r="AQ56" i="2"/>
  <c r="AP56" i="2"/>
  <c r="AO56" i="2"/>
  <c r="AN56" i="2"/>
  <c r="AM56" i="2"/>
  <c r="AL56" i="2"/>
  <c r="AK56" i="2"/>
  <c r="BI55" i="2"/>
  <c r="BH55" i="2"/>
  <c r="BG55" i="2"/>
  <c r="BF55" i="2"/>
  <c r="BE55" i="2"/>
  <c r="BD55" i="2"/>
  <c r="BC55" i="2"/>
  <c r="BB55" i="2"/>
  <c r="BA55" i="2"/>
  <c r="AZ55" i="2"/>
  <c r="AY55" i="2"/>
  <c r="AX55" i="2"/>
  <c r="AW55" i="2"/>
  <c r="AV55" i="2"/>
  <c r="AU55" i="2"/>
  <c r="AT55" i="2"/>
  <c r="AS55" i="2"/>
  <c r="AR55" i="2"/>
  <c r="AQ55" i="2"/>
  <c r="AP55" i="2"/>
  <c r="AO55" i="2"/>
  <c r="AN55" i="2"/>
  <c r="AM55" i="2"/>
  <c r="AL55" i="2"/>
  <c r="AK55" i="2"/>
  <c r="BI54" i="2"/>
  <c r="BH54" i="2"/>
  <c r="BG54" i="2"/>
  <c r="BF54" i="2"/>
  <c r="BE54" i="2"/>
  <c r="BD54" i="2"/>
  <c r="BC54" i="2"/>
  <c r="BB54" i="2"/>
  <c r="BA54" i="2"/>
  <c r="AZ54" i="2"/>
  <c r="AY54" i="2"/>
  <c r="AX54" i="2"/>
  <c r="AW54" i="2"/>
  <c r="AV54" i="2"/>
  <c r="AU54" i="2"/>
  <c r="AT54" i="2"/>
  <c r="AS54" i="2"/>
  <c r="AR54" i="2"/>
  <c r="AQ54" i="2"/>
  <c r="AP54" i="2"/>
  <c r="AO54" i="2"/>
  <c r="AN54" i="2"/>
  <c r="AM54" i="2"/>
  <c r="AL54" i="2"/>
  <c r="AK54" i="2"/>
  <c r="BI53" i="2"/>
  <c r="BH53" i="2"/>
  <c r="BG53" i="2"/>
  <c r="BF53" i="2"/>
  <c r="BE53" i="2"/>
  <c r="BD53" i="2"/>
  <c r="BC53" i="2"/>
  <c r="BB53" i="2"/>
  <c r="BA53" i="2"/>
  <c r="AZ53" i="2"/>
  <c r="AY53" i="2"/>
  <c r="AX53" i="2"/>
  <c r="AW53" i="2"/>
  <c r="AV53" i="2"/>
  <c r="AU53" i="2"/>
  <c r="AT53" i="2"/>
  <c r="AS53" i="2"/>
  <c r="AR53" i="2"/>
  <c r="AQ53" i="2"/>
  <c r="AP53" i="2"/>
  <c r="AO53" i="2"/>
  <c r="AN53" i="2"/>
  <c r="AM53" i="2"/>
  <c r="AL53" i="2"/>
  <c r="AK53" i="2"/>
  <c r="BI52" i="2"/>
  <c r="BH52" i="2"/>
  <c r="BG52" i="2"/>
  <c r="BF52" i="2"/>
  <c r="BE52" i="2"/>
  <c r="BD52" i="2"/>
  <c r="BC52" i="2"/>
  <c r="BB52" i="2"/>
  <c r="BA52" i="2"/>
  <c r="AZ52" i="2"/>
  <c r="AY52" i="2"/>
  <c r="AX52" i="2"/>
  <c r="AW52" i="2"/>
  <c r="AV52" i="2"/>
  <c r="AU52" i="2"/>
  <c r="AT52" i="2"/>
  <c r="AS52" i="2"/>
  <c r="AR52" i="2"/>
  <c r="AQ52" i="2"/>
  <c r="AP52" i="2"/>
  <c r="AO52" i="2"/>
  <c r="AN52" i="2"/>
  <c r="AM52" i="2"/>
  <c r="AL52" i="2"/>
  <c r="AK52" i="2"/>
  <c r="BI51" i="2"/>
  <c r="BH51" i="2"/>
  <c r="BG51" i="2"/>
  <c r="BF51" i="2"/>
  <c r="BE51" i="2"/>
  <c r="BD51" i="2"/>
  <c r="BC51" i="2"/>
  <c r="BB51" i="2"/>
  <c r="BA51" i="2"/>
  <c r="AZ51" i="2"/>
  <c r="AY51" i="2"/>
  <c r="AX51" i="2"/>
  <c r="AW51" i="2"/>
  <c r="AV51" i="2"/>
  <c r="AU51" i="2"/>
  <c r="AT51" i="2"/>
  <c r="AS51" i="2"/>
  <c r="AR51" i="2"/>
  <c r="AQ51" i="2"/>
  <c r="AP51" i="2"/>
  <c r="AO51" i="2"/>
  <c r="AN51" i="2"/>
  <c r="AM51" i="2"/>
  <c r="AL51" i="2"/>
  <c r="AK51" i="2"/>
  <c r="BI50" i="2"/>
  <c r="BH50" i="2"/>
  <c r="BG50" i="2"/>
  <c r="BF50" i="2"/>
  <c r="BE50" i="2"/>
  <c r="BD50" i="2"/>
  <c r="BC50" i="2"/>
  <c r="BB50" i="2"/>
  <c r="BA50" i="2"/>
  <c r="AZ50" i="2"/>
  <c r="AY50" i="2"/>
  <c r="AX50" i="2"/>
  <c r="AW50" i="2"/>
  <c r="AV50" i="2"/>
  <c r="AU50" i="2"/>
  <c r="AT50" i="2"/>
  <c r="AS50" i="2"/>
  <c r="AR50" i="2"/>
  <c r="AQ50" i="2"/>
  <c r="AP50" i="2"/>
  <c r="AO50" i="2"/>
  <c r="AN50" i="2"/>
  <c r="AM50" i="2"/>
  <c r="AL50" i="2"/>
  <c r="AK50" i="2"/>
  <c r="BI49" i="2"/>
  <c r="BH49" i="2"/>
  <c r="BG49" i="2"/>
  <c r="BF49" i="2"/>
  <c r="BE49" i="2"/>
  <c r="BD49" i="2"/>
  <c r="BC49" i="2"/>
  <c r="BB49" i="2"/>
  <c r="BA49" i="2"/>
  <c r="AZ49" i="2"/>
  <c r="AY49" i="2"/>
  <c r="AX49" i="2"/>
  <c r="AW49" i="2"/>
  <c r="AV49" i="2"/>
  <c r="AU49" i="2"/>
  <c r="AT49" i="2"/>
  <c r="AS49" i="2"/>
  <c r="AR49" i="2"/>
  <c r="AQ49" i="2"/>
  <c r="AP49" i="2"/>
  <c r="AO49" i="2"/>
  <c r="AN49" i="2"/>
  <c r="AM49" i="2"/>
  <c r="AL49" i="2"/>
  <c r="AK49" i="2"/>
  <c r="BI48" i="2"/>
  <c r="BH48" i="2"/>
  <c r="BG48" i="2"/>
  <c r="BF48" i="2"/>
  <c r="BE48" i="2"/>
  <c r="BD48" i="2"/>
  <c r="BC48" i="2"/>
  <c r="BB48" i="2"/>
  <c r="BA48" i="2"/>
  <c r="AZ48" i="2"/>
  <c r="AY48" i="2"/>
  <c r="AX48" i="2"/>
  <c r="AW48" i="2"/>
  <c r="AV48" i="2"/>
  <c r="AU48" i="2"/>
  <c r="AT48" i="2"/>
  <c r="AS48" i="2"/>
  <c r="AR48" i="2"/>
  <c r="AQ48" i="2"/>
  <c r="AP48" i="2"/>
  <c r="AO48" i="2"/>
  <c r="AN48" i="2"/>
  <c r="AM48" i="2"/>
  <c r="AL48" i="2"/>
  <c r="AK48" i="2"/>
  <c r="BI47" i="2"/>
  <c r="BH47" i="2"/>
  <c r="BG47" i="2"/>
  <c r="BF47" i="2"/>
  <c r="BE47" i="2"/>
  <c r="BD47" i="2"/>
  <c r="BC47" i="2"/>
  <c r="BB47" i="2"/>
  <c r="BA47" i="2"/>
  <c r="AZ47" i="2"/>
  <c r="AY47" i="2"/>
  <c r="AX47" i="2"/>
  <c r="AW47" i="2"/>
  <c r="AV47" i="2"/>
  <c r="AU47" i="2"/>
  <c r="AT47" i="2"/>
  <c r="AS47" i="2"/>
  <c r="AR47" i="2"/>
  <c r="AQ47" i="2"/>
  <c r="AP47" i="2"/>
  <c r="AO47" i="2"/>
  <c r="AN47" i="2"/>
  <c r="AM47" i="2"/>
  <c r="AL47" i="2"/>
  <c r="AK47" i="2"/>
  <c r="BI46" i="2"/>
  <c r="BH46" i="2"/>
  <c r="BG46" i="2"/>
  <c r="BF46" i="2"/>
  <c r="BE46" i="2"/>
  <c r="BD46" i="2"/>
  <c r="BC46" i="2"/>
  <c r="BB46" i="2"/>
  <c r="BA46" i="2"/>
  <c r="AZ46" i="2"/>
  <c r="AY46" i="2"/>
  <c r="AX46" i="2"/>
  <c r="AW46" i="2"/>
  <c r="AV46" i="2"/>
  <c r="AU46" i="2"/>
  <c r="AT46" i="2"/>
  <c r="AS46" i="2"/>
  <c r="AR46" i="2"/>
  <c r="AQ46" i="2"/>
  <c r="AP46" i="2"/>
  <c r="AO46" i="2"/>
  <c r="AN46" i="2"/>
  <c r="AM46" i="2"/>
  <c r="AL46" i="2"/>
  <c r="AK46" i="2"/>
  <c r="BI45" i="2"/>
  <c r="BH45" i="2"/>
  <c r="BG45" i="2"/>
  <c r="BF45" i="2"/>
  <c r="BE45" i="2"/>
  <c r="BD45" i="2"/>
  <c r="BC45" i="2"/>
  <c r="BB45" i="2"/>
  <c r="BA45" i="2"/>
  <c r="AZ45" i="2"/>
  <c r="AY45" i="2"/>
  <c r="AX45" i="2"/>
  <c r="AW45" i="2"/>
  <c r="AV45" i="2"/>
  <c r="AU45" i="2"/>
  <c r="AT45" i="2"/>
  <c r="AS45" i="2"/>
  <c r="AR45" i="2"/>
  <c r="AQ45" i="2"/>
  <c r="AP45" i="2"/>
  <c r="AO45" i="2"/>
  <c r="AN45" i="2"/>
  <c r="AM45" i="2"/>
  <c r="AL45" i="2"/>
  <c r="AK45" i="2"/>
  <c r="BI44" i="2"/>
  <c r="BH44" i="2"/>
  <c r="BG44" i="2"/>
  <c r="BF44" i="2"/>
  <c r="BE44" i="2"/>
  <c r="BD44" i="2"/>
  <c r="BC44" i="2"/>
  <c r="BB44" i="2"/>
  <c r="BA44" i="2"/>
  <c r="AZ44" i="2"/>
  <c r="AY44" i="2"/>
  <c r="AX44" i="2"/>
  <c r="AW44" i="2"/>
  <c r="AV44" i="2"/>
  <c r="AU44" i="2"/>
  <c r="AT44" i="2"/>
  <c r="AS44" i="2"/>
  <c r="AR44" i="2"/>
  <c r="AQ44" i="2"/>
  <c r="AP44" i="2"/>
  <c r="AO44" i="2"/>
  <c r="AN44" i="2"/>
  <c r="AM44" i="2"/>
  <c r="AL44" i="2"/>
  <c r="AK44" i="2"/>
  <c r="BI43" i="2"/>
  <c r="BH43" i="2"/>
  <c r="BG43" i="2"/>
  <c r="BF43" i="2"/>
  <c r="BE43" i="2"/>
  <c r="BD43" i="2"/>
  <c r="BC43" i="2"/>
  <c r="BB43" i="2"/>
  <c r="BA43" i="2"/>
  <c r="AZ43" i="2"/>
  <c r="AY43" i="2"/>
  <c r="AX43" i="2"/>
  <c r="AW43" i="2"/>
  <c r="AV43" i="2"/>
  <c r="AU43" i="2"/>
  <c r="AT43" i="2"/>
  <c r="AS43" i="2"/>
  <c r="AR43" i="2"/>
  <c r="AQ43" i="2"/>
  <c r="AP43" i="2"/>
  <c r="AO43" i="2"/>
  <c r="AN43" i="2"/>
  <c r="AM43" i="2"/>
  <c r="AL43" i="2"/>
  <c r="AK43" i="2"/>
  <c r="BI42" i="2"/>
  <c r="BH42" i="2"/>
  <c r="BG42" i="2"/>
  <c r="BF42" i="2"/>
  <c r="BE42" i="2"/>
  <c r="BD42" i="2"/>
  <c r="BC42" i="2"/>
  <c r="BB42" i="2"/>
  <c r="BA42" i="2"/>
  <c r="AZ42" i="2"/>
  <c r="AY42" i="2"/>
  <c r="AX42" i="2"/>
  <c r="AW42" i="2"/>
  <c r="AV42" i="2"/>
  <c r="AU42" i="2"/>
  <c r="AT42" i="2"/>
  <c r="AS42" i="2"/>
  <c r="AR42" i="2"/>
  <c r="AQ42" i="2"/>
  <c r="AP42" i="2"/>
  <c r="AO42" i="2"/>
  <c r="AN42" i="2"/>
  <c r="AM42" i="2"/>
  <c r="AL42" i="2"/>
  <c r="AK42" i="2"/>
  <c r="BI41" i="2"/>
  <c r="BH41" i="2"/>
  <c r="BG41" i="2"/>
  <c r="BF41" i="2"/>
  <c r="BE41" i="2"/>
  <c r="BD41" i="2"/>
  <c r="BC41" i="2"/>
  <c r="BB41" i="2"/>
  <c r="BA41" i="2"/>
  <c r="AZ41" i="2"/>
  <c r="AY41" i="2"/>
  <c r="AX41" i="2"/>
  <c r="AW41" i="2"/>
  <c r="AV41" i="2"/>
  <c r="AU41" i="2"/>
  <c r="AT41" i="2"/>
  <c r="AS41" i="2"/>
  <c r="AR41" i="2"/>
  <c r="AQ41" i="2"/>
  <c r="AP41" i="2"/>
  <c r="AO41" i="2"/>
  <c r="AN41" i="2"/>
  <c r="AM41" i="2"/>
  <c r="AL41" i="2"/>
  <c r="AK41" i="2"/>
  <c r="BI40" i="2"/>
  <c r="BH40" i="2"/>
  <c r="BG40" i="2"/>
  <c r="BF40" i="2"/>
  <c r="BE40" i="2"/>
  <c r="BD40" i="2"/>
  <c r="BC40" i="2"/>
  <c r="BB40" i="2"/>
  <c r="BA40" i="2"/>
  <c r="AZ40" i="2"/>
  <c r="AY40" i="2"/>
  <c r="AX40" i="2"/>
  <c r="AW40" i="2"/>
  <c r="AV40" i="2"/>
  <c r="AU40" i="2"/>
  <c r="AT40" i="2"/>
  <c r="AS40" i="2"/>
  <c r="AR40" i="2"/>
  <c r="AQ40" i="2"/>
  <c r="AP40" i="2"/>
  <c r="AO40" i="2"/>
  <c r="AN40" i="2"/>
  <c r="AM40" i="2"/>
  <c r="AL40" i="2"/>
  <c r="AK40" i="2"/>
  <c r="BI39" i="2"/>
  <c r="BH39" i="2"/>
  <c r="BG39" i="2"/>
  <c r="BF39" i="2"/>
  <c r="BE39" i="2"/>
  <c r="BD39" i="2"/>
  <c r="BC39" i="2"/>
  <c r="BB39" i="2"/>
  <c r="BA39" i="2"/>
  <c r="AZ39" i="2"/>
  <c r="AY39" i="2"/>
  <c r="AX39" i="2"/>
  <c r="AW39" i="2"/>
  <c r="AV39" i="2"/>
  <c r="AU39" i="2"/>
  <c r="AT39" i="2"/>
  <c r="AS39" i="2"/>
  <c r="AR39" i="2"/>
  <c r="AQ39" i="2"/>
  <c r="AP39" i="2"/>
  <c r="AO39" i="2"/>
  <c r="AN39" i="2"/>
  <c r="AM39" i="2"/>
  <c r="AL39" i="2"/>
  <c r="AK39" i="2"/>
  <c r="BI38" i="2"/>
  <c r="BH38" i="2"/>
  <c r="BG38" i="2"/>
  <c r="BF38" i="2"/>
  <c r="BE38" i="2"/>
  <c r="BD38" i="2"/>
  <c r="BC38" i="2"/>
  <c r="BB38" i="2"/>
  <c r="BA38" i="2"/>
  <c r="AZ38" i="2"/>
  <c r="AY38" i="2"/>
  <c r="AX38" i="2"/>
  <c r="AW38" i="2"/>
  <c r="AV38" i="2"/>
  <c r="AU38" i="2"/>
  <c r="AT38" i="2"/>
  <c r="AS38" i="2"/>
  <c r="AR38" i="2"/>
  <c r="AQ38" i="2"/>
  <c r="AP38" i="2"/>
  <c r="AO38" i="2"/>
  <c r="AN38" i="2"/>
  <c r="AM38" i="2"/>
  <c r="AL38" i="2"/>
  <c r="AK38" i="2"/>
  <c r="BI37" i="2"/>
  <c r="BH37" i="2"/>
  <c r="BG37" i="2"/>
  <c r="BF37" i="2"/>
  <c r="BE37" i="2"/>
  <c r="BD37" i="2"/>
  <c r="BC37" i="2"/>
  <c r="BB37" i="2"/>
  <c r="BA37" i="2"/>
  <c r="AZ37" i="2"/>
  <c r="AY37" i="2"/>
  <c r="AX37" i="2"/>
  <c r="AW37" i="2"/>
  <c r="AV37" i="2"/>
  <c r="AU37" i="2"/>
  <c r="AT37" i="2"/>
  <c r="AS37" i="2"/>
  <c r="AR37" i="2"/>
  <c r="AQ37" i="2"/>
  <c r="AP37" i="2"/>
  <c r="AO37" i="2"/>
  <c r="AN37" i="2"/>
  <c r="AM37" i="2"/>
  <c r="AL37" i="2"/>
  <c r="AK37" i="2"/>
  <c r="BI36" i="2"/>
  <c r="BH36" i="2"/>
  <c r="BG36" i="2"/>
  <c r="BF36" i="2"/>
  <c r="BE36" i="2"/>
  <c r="BD36" i="2"/>
  <c r="BC36" i="2"/>
  <c r="BB36" i="2"/>
  <c r="BA36" i="2"/>
  <c r="AZ36" i="2"/>
  <c r="AY36" i="2"/>
  <c r="AX36" i="2"/>
  <c r="AW36" i="2"/>
  <c r="AV36" i="2"/>
  <c r="AU36" i="2"/>
  <c r="AT36" i="2"/>
  <c r="AS36" i="2"/>
  <c r="AR36" i="2"/>
  <c r="AQ36" i="2"/>
  <c r="AP36" i="2"/>
  <c r="AO36" i="2"/>
  <c r="AN36" i="2"/>
  <c r="AM36" i="2"/>
  <c r="AL36" i="2"/>
  <c r="AK36" i="2"/>
  <c r="BI35" i="2"/>
  <c r="BH35" i="2"/>
  <c r="BG35" i="2"/>
  <c r="BF35" i="2"/>
  <c r="BE35" i="2"/>
  <c r="BD35" i="2"/>
  <c r="BC35" i="2"/>
  <c r="BB35" i="2"/>
  <c r="BA35" i="2"/>
  <c r="AZ35" i="2"/>
  <c r="AY35" i="2"/>
  <c r="AX35" i="2"/>
  <c r="AW35" i="2"/>
  <c r="AV35" i="2"/>
  <c r="AU35" i="2"/>
  <c r="AT35" i="2"/>
  <c r="AS35" i="2"/>
  <c r="AR35" i="2"/>
  <c r="AQ35" i="2"/>
  <c r="AP35" i="2"/>
  <c r="AO35" i="2"/>
  <c r="AN35" i="2"/>
  <c r="AM35" i="2"/>
  <c r="AL35" i="2"/>
  <c r="AK35" i="2"/>
  <c r="BI34" i="2"/>
  <c r="BH34" i="2"/>
  <c r="BG34" i="2"/>
  <c r="BF34" i="2"/>
  <c r="BE34" i="2"/>
  <c r="BD34" i="2"/>
  <c r="BC34" i="2"/>
  <c r="BB34" i="2"/>
  <c r="BA34" i="2"/>
  <c r="AZ34" i="2"/>
  <c r="AY34" i="2"/>
  <c r="AX34" i="2"/>
  <c r="AW34" i="2"/>
  <c r="AV34" i="2"/>
  <c r="AU34" i="2"/>
  <c r="AT34" i="2"/>
  <c r="AS34" i="2"/>
  <c r="AR34" i="2"/>
  <c r="AQ34" i="2"/>
  <c r="AP34" i="2"/>
  <c r="AO34" i="2"/>
  <c r="AN34" i="2"/>
  <c r="AM34" i="2"/>
  <c r="AL34" i="2"/>
  <c r="AK34" i="2"/>
  <c r="BI33" i="2"/>
  <c r="BH33" i="2"/>
  <c r="BG33" i="2"/>
  <c r="BF33" i="2"/>
  <c r="BE33" i="2"/>
  <c r="BD33" i="2"/>
  <c r="BC33" i="2"/>
  <c r="BB33" i="2"/>
  <c r="BA33" i="2"/>
  <c r="AZ33" i="2"/>
  <c r="AY33" i="2"/>
  <c r="AX33" i="2"/>
  <c r="AW33" i="2"/>
  <c r="AV33" i="2"/>
  <c r="AU33" i="2"/>
  <c r="AT33" i="2"/>
  <c r="AS33" i="2"/>
  <c r="AR33" i="2"/>
  <c r="AQ33" i="2"/>
  <c r="AP33" i="2"/>
  <c r="AO33" i="2"/>
  <c r="AN33" i="2"/>
  <c r="AM33" i="2"/>
  <c r="AL33" i="2"/>
  <c r="AK33" i="2"/>
  <c r="BI32" i="2"/>
  <c r="BH32" i="2"/>
  <c r="BG32" i="2"/>
  <c r="BF32" i="2"/>
  <c r="BE32" i="2"/>
  <c r="BD32" i="2"/>
  <c r="BC32" i="2"/>
  <c r="BB32" i="2"/>
  <c r="BA32" i="2"/>
  <c r="AZ32" i="2"/>
  <c r="AY32" i="2"/>
  <c r="AX32" i="2"/>
  <c r="AW32" i="2"/>
  <c r="AV32" i="2"/>
  <c r="AU32" i="2"/>
  <c r="AT32" i="2"/>
  <c r="AS32" i="2"/>
  <c r="AR32" i="2"/>
  <c r="AQ32" i="2"/>
  <c r="AP32" i="2"/>
  <c r="AO32" i="2"/>
  <c r="AN32" i="2"/>
  <c r="AM32" i="2"/>
  <c r="AL32" i="2"/>
  <c r="AK32" i="2"/>
  <c r="BI31" i="2"/>
  <c r="BH31" i="2"/>
  <c r="BG31" i="2"/>
  <c r="BF31" i="2"/>
  <c r="BE31" i="2"/>
  <c r="BD31" i="2"/>
  <c r="BC31" i="2"/>
  <c r="BB31" i="2"/>
  <c r="BA31" i="2"/>
  <c r="AZ31" i="2"/>
  <c r="AY31" i="2"/>
  <c r="AX31" i="2"/>
  <c r="AW31" i="2"/>
  <c r="AV31" i="2"/>
  <c r="AU31" i="2"/>
  <c r="AT31" i="2"/>
  <c r="AS31" i="2"/>
  <c r="AR31" i="2"/>
  <c r="AQ31" i="2"/>
  <c r="AP31" i="2"/>
  <c r="AO31" i="2"/>
  <c r="AN31" i="2"/>
  <c r="AM31" i="2"/>
  <c r="AL31" i="2"/>
  <c r="AK31" i="2"/>
  <c r="BI30" i="2"/>
  <c r="BH30" i="2"/>
  <c r="BG30" i="2"/>
  <c r="BF30" i="2"/>
  <c r="BE30" i="2"/>
  <c r="BD30" i="2"/>
  <c r="BC30" i="2"/>
  <c r="BB30" i="2"/>
  <c r="BA30" i="2"/>
  <c r="AZ30" i="2"/>
  <c r="AY30" i="2"/>
  <c r="AX30" i="2"/>
  <c r="AW30" i="2"/>
  <c r="AV30" i="2"/>
  <c r="AU30" i="2"/>
  <c r="AT30" i="2"/>
  <c r="AS30" i="2"/>
  <c r="AR30" i="2"/>
  <c r="AQ30" i="2"/>
  <c r="AP30" i="2"/>
  <c r="AO30" i="2"/>
  <c r="AN30" i="2"/>
  <c r="AM30" i="2"/>
  <c r="AL30" i="2"/>
  <c r="AK30" i="2"/>
  <c r="BI29" i="2"/>
  <c r="BH29" i="2"/>
  <c r="BG29" i="2"/>
  <c r="BF29" i="2"/>
  <c r="BE29" i="2"/>
  <c r="BD29" i="2"/>
  <c r="BC29" i="2"/>
  <c r="BB29" i="2"/>
  <c r="BA29" i="2"/>
  <c r="AZ29" i="2"/>
  <c r="AY29" i="2"/>
  <c r="AX29" i="2"/>
  <c r="AW29" i="2"/>
  <c r="AV29" i="2"/>
  <c r="AU29" i="2"/>
  <c r="AT29" i="2"/>
  <c r="AS29" i="2"/>
  <c r="AR29" i="2"/>
  <c r="AQ29" i="2"/>
  <c r="AP29" i="2"/>
  <c r="AO29" i="2"/>
  <c r="AN29" i="2"/>
  <c r="AM29" i="2"/>
  <c r="AL29" i="2"/>
  <c r="AK29" i="2"/>
  <c r="BI28" i="2"/>
  <c r="BH28" i="2"/>
  <c r="BG28" i="2"/>
  <c r="BF28" i="2"/>
  <c r="BE28" i="2"/>
  <c r="BD28" i="2"/>
  <c r="BC28" i="2"/>
  <c r="BB28" i="2"/>
  <c r="BA28" i="2"/>
  <c r="AZ28" i="2"/>
  <c r="AY28" i="2"/>
  <c r="AX28" i="2"/>
  <c r="AW28" i="2"/>
  <c r="AV28" i="2"/>
  <c r="AU28" i="2"/>
  <c r="AT28" i="2"/>
  <c r="AS28" i="2"/>
  <c r="AR28" i="2"/>
  <c r="AQ28" i="2"/>
  <c r="AP28" i="2"/>
  <c r="AO28" i="2"/>
  <c r="AN28" i="2"/>
  <c r="AM28" i="2"/>
  <c r="AL28" i="2"/>
  <c r="AK28" i="2"/>
  <c r="BI27" i="2"/>
  <c r="BH27" i="2"/>
  <c r="BG27" i="2"/>
  <c r="BF27" i="2"/>
  <c r="BE27" i="2"/>
  <c r="BD27" i="2"/>
  <c r="BC27" i="2"/>
  <c r="BB27" i="2"/>
  <c r="BA27" i="2"/>
  <c r="AZ27" i="2"/>
  <c r="AY27" i="2"/>
  <c r="AX27" i="2"/>
  <c r="AW27" i="2"/>
  <c r="AV27" i="2"/>
  <c r="AU27" i="2"/>
  <c r="AT27" i="2"/>
  <c r="AS27" i="2"/>
  <c r="AR27" i="2"/>
  <c r="AQ27" i="2"/>
  <c r="AP27" i="2"/>
  <c r="AO27" i="2"/>
  <c r="AN27" i="2"/>
  <c r="AM27" i="2"/>
  <c r="AL27" i="2"/>
  <c r="AK27" i="2"/>
  <c r="BI26" i="2"/>
  <c r="BH26" i="2"/>
  <c r="BG26" i="2"/>
  <c r="BF26" i="2"/>
  <c r="BE26" i="2"/>
  <c r="BD26" i="2"/>
  <c r="BC26" i="2"/>
  <c r="BB26" i="2"/>
  <c r="BA26" i="2"/>
  <c r="AZ26" i="2"/>
  <c r="AY26" i="2"/>
  <c r="AX26" i="2"/>
  <c r="AW26" i="2"/>
  <c r="AV26" i="2"/>
  <c r="AU26" i="2"/>
  <c r="AT26" i="2"/>
  <c r="AS26" i="2"/>
  <c r="AR26" i="2"/>
  <c r="AQ26" i="2"/>
  <c r="AP26" i="2"/>
  <c r="AO26" i="2"/>
  <c r="AN26" i="2"/>
  <c r="AM26" i="2"/>
  <c r="AL26" i="2"/>
  <c r="AK26" i="2"/>
  <c r="BI25" i="2"/>
  <c r="BH25" i="2"/>
  <c r="BG25" i="2"/>
  <c r="BF25" i="2"/>
  <c r="BE25" i="2"/>
  <c r="BD25" i="2"/>
  <c r="BC25" i="2"/>
  <c r="BB25" i="2"/>
  <c r="BA25" i="2"/>
  <c r="AZ25" i="2"/>
  <c r="AY25" i="2"/>
  <c r="AX25" i="2"/>
  <c r="AW25" i="2"/>
  <c r="AV25" i="2"/>
  <c r="AU25" i="2"/>
  <c r="AT25" i="2"/>
  <c r="AS25" i="2"/>
  <c r="AR25" i="2"/>
  <c r="AQ25" i="2"/>
  <c r="AP25" i="2"/>
  <c r="AO25" i="2"/>
  <c r="AN25" i="2"/>
  <c r="AM25" i="2"/>
  <c r="AL25" i="2"/>
  <c r="AK25" i="2"/>
  <c r="BI24" i="2"/>
  <c r="BH24" i="2"/>
  <c r="BG24" i="2"/>
  <c r="BF24" i="2"/>
  <c r="BE24" i="2"/>
  <c r="BD24" i="2"/>
  <c r="BC24" i="2"/>
  <c r="BB24" i="2"/>
  <c r="BA24" i="2"/>
  <c r="AZ24" i="2"/>
  <c r="AY24" i="2"/>
  <c r="AX24" i="2"/>
  <c r="AW24" i="2"/>
  <c r="AV24" i="2"/>
  <c r="AU24" i="2"/>
  <c r="AT24" i="2"/>
  <c r="AS24" i="2"/>
  <c r="AR24" i="2"/>
  <c r="AQ24" i="2"/>
  <c r="AP24" i="2"/>
  <c r="AO24" i="2"/>
  <c r="AN24" i="2"/>
  <c r="AM24" i="2"/>
  <c r="AL24" i="2"/>
  <c r="AK24" i="2"/>
  <c r="BI23" i="2"/>
  <c r="BH23" i="2"/>
  <c r="BG23" i="2"/>
  <c r="BF23" i="2"/>
  <c r="BE23" i="2"/>
  <c r="BD23" i="2"/>
  <c r="BC23" i="2"/>
  <c r="BB23" i="2"/>
  <c r="BA23" i="2"/>
  <c r="AZ23" i="2"/>
  <c r="AY23" i="2"/>
  <c r="AX23" i="2"/>
  <c r="AW23" i="2"/>
  <c r="AV23" i="2"/>
  <c r="AU23" i="2"/>
  <c r="AT23" i="2"/>
  <c r="AS23" i="2"/>
  <c r="AR23" i="2"/>
  <c r="AQ23" i="2"/>
  <c r="AP23" i="2"/>
  <c r="AO23" i="2"/>
  <c r="AN23" i="2"/>
  <c r="AM23" i="2"/>
  <c r="AL23" i="2"/>
  <c r="AK23" i="2"/>
  <c r="BI22" i="2"/>
  <c r="BH22" i="2"/>
  <c r="BG22" i="2"/>
  <c r="BF22" i="2"/>
  <c r="BE22" i="2"/>
  <c r="BD22" i="2"/>
  <c r="BC22" i="2"/>
  <c r="BB22" i="2"/>
  <c r="BA22" i="2"/>
  <c r="AZ22" i="2"/>
  <c r="AY22" i="2"/>
  <c r="AX22" i="2"/>
  <c r="AW22" i="2"/>
  <c r="AV22" i="2"/>
  <c r="AU22" i="2"/>
  <c r="AT22" i="2"/>
  <c r="AS22" i="2"/>
  <c r="AR22" i="2"/>
  <c r="AQ22" i="2"/>
  <c r="AP22" i="2"/>
  <c r="AO22" i="2"/>
  <c r="AN22" i="2"/>
  <c r="AM22" i="2"/>
  <c r="AL22" i="2"/>
  <c r="AK22" i="2"/>
  <c r="BI21" i="2"/>
  <c r="BH21" i="2"/>
  <c r="BG21" i="2"/>
  <c r="BF21" i="2"/>
  <c r="BE21" i="2"/>
  <c r="BD21" i="2"/>
  <c r="BC21" i="2"/>
  <c r="BB21" i="2"/>
  <c r="BA21" i="2"/>
  <c r="AZ21" i="2"/>
  <c r="AY21" i="2"/>
  <c r="AX21" i="2"/>
  <c r="AW21" i="2"/>
  <c r="AV21" i="2"/>
  <c r="AU21" i="2"/>
  <c r="AT21" i="2"/>
  <c r="AS21" i="2"/>
  <c r="AR21" i="2"/>
  <c r="AQ21" i="2"/>
  <c r="AP21" i="2"/>
  <c r="AO21" i="2"/>
  <c r="AN21" i="2"/>
  <c r="AM21" i="2"/>
  <c r="AL21" i="2"/>
  <c r="AK21" i="2"/>
  <c r="BI20" i="2"/>
  <c r="BH20" i="2"/>
  <c r="BG20" i="2"/>
  <c r="BF20" i="2"/>
  <c r="BE20" i="2"/>
  <c r="BD20" i="2"/>
  <c r="BC20" i="2"/>
  <c r="BB20" i="2"/>
  <c r="BA20" i="2"/>
  <c r="AZ20" i="2"/>
  <c r="AY20" i="2"/>
  <c r="AX20" i="2"/>
  <c r="AW20" i="2"/>
  <c r="AV20" i="2"/>
  <c r="AU20" i="2"/>
  <c r="AT20" i="2"/>
  <c r="AS20" i="2"/>
  <c r="AR20" i="2"/>
  <c r="AQ20" i="2"/>
  <c r="AP20" i="2"/>
  <c r="AO20" i="2"/>
  <c r="AN20" i="2"/>
  <c r="AM20" i="2"/>
  <c r="AL20" i="2"/>
  <c r="AK20" i="2"/>
  <c r="BI19" i="2"/>
  <c r="BH19" i="2"/>
  <c r="BG19" i="2"/>
  <c r="BF19" i="2"/>
  <c r="BE19" i="2"/>
  <c r="BD19" i="2"/>
  <c r="BC19" i="2"/>
  <c r="BB19" i="2"/>
  <c r="BA19" i="2"/>
  <c r="AZ19" i="2"/>
  <c r="AY19" i="2"/>
  <c r="AX19" i="2"/>
  <c r="AW19" i="2"/>
  <c r="AV19" i="2"/>
  <c r="AU19" i="2"/>
  <c r="AT19" i="2"/>
  <c r="AS19" i="2"/>
  <c r="AR19" i="2"/>
  <c r="AQ19" i="2"/>
  <c r="AP19" i="2"/>
  <c r="AO19" i="2"/>
  <c r="AN19" i="2"/>
  <c r="AM19" i="2"/>
  <c r="AL19" i="2"/>
  <c r="AK19" i="2"/>
  <c r="BI18" i="2"/>
  <c r="BH18" i="2"/>
  <c r="BG18" i="2"/>
  <c r="BF18" i="2"/>
  <c r="BE18" i="2"/>
  <c r="BD18" i="2"/>
  <c r="BC18" i="2"/>
  <c r="BB18" i="2"/>
  <c r="BA18" i="2"/>
  <c r="AZ18" i="2"/>
  <c r="AY18" i="2"/>
  <c r="AX18" i="2"/>
  <c r="AW18" i="2"/>
  <c r="AV18" i="2"/>
  <c r="AU18" i="2"/>
  <c r="AT18" i="2"/>
  <c r="AS18" i="2"/>
  <c r="AR18" i="2"/>
  <c r="AQ18" i="2"/>
  <c r="AP18" i="2"/>
  <c r="AO18" i="2"/>
  <c r="AN18" i="2"/>
  <c r="AM18" i="2"/>
  <c r="AL18" i="2"/>
  <c r="AK18" i="2"/>
  <c r="BI17" i="2"/>
  <c r="BH17" i="2"/>
  <c r="BG17" i="2"/>
  <c r="BF17" i="2"/>
  <c r="BE17" i="2"/>
  <c r="BD17" i="2"/>
  <c r="BC17" i="2"/>
  <c r="BB17" i="2"/>
  <c r="BA17" i="2"/>
  <c r="AZ17" i="2"/>
  <c r="AY17" i="2"/>
  <c r="AX17" i="2"/>
  <c r="AW17" i="2"/>
  <c r="AV17" i="2"/>
  <c r="AU17" i="2"/>
  <c r="AT17" i="2"/>
  <c r="AS17" i="2"/>
  <c r="AR17" i="2"/>
  <c r="AQ17" i="2"/>
  <c r="AP17" i="2"/>
  <c r="AO17" i="2"/>
  <c r="AN17" i="2"/>
  <c r="AM17" i="2"/>
  <c r="AL17" i="2"/>
  <c r="AK17" i="2"/>
  <c r="BI16" i="2"/>
  <c r="BH16" i="2"/>
  <c r="BG16" i="2"/>
  <c r="BF16" i="2"/>
  <c r="BE16" i="2"/>
  <c r="BD16" i="2"/>
  <c r="BC16" i="2"/>
  <c r="BB16" i="2"/>
  <c r="BA16" i="2"/>
  <c r="AZ16" i="2"/>
  <c r="AY16" i="2"/>
  <c r="AX16" i="2"/>
  <c r="AW16" i="2"/>
  <c r="AV16" i="2"/>
  <c r="AU16" i="2"/>
  <c r="AT16" i="2"/>
  <c r="AS16" i="2"/>
  <c r="AR16" i="2"/>
  <c r="AQ16" i="2"/>
  <c r="AP16" i="2"/>
  <c r="AO16" i="2"/>
  <c r="AN16" i="2"/>
  <c r="AM16" i="2"/>
  <c r="AL16" i="2"/>
  <c r="AK16" i="2"/>
  <c r="BI15" i="2"/>
  <c r="BH15" i="2"/>
  <c r="BG15" i="2"/>
  <c r="BF15" i="2"/>
  <c r="BE15" i="2"/>
  <c r="BD15" i="2"/>
  <c r="BC15" i="2"/>
  <c r="BB15" i="2"/>
  <c r="BA15" i="2"/>
  <c r="AZ15" i="2"/>
  <c r="AY15" i="2"/>
  <c r="AX15" i="2"/>
  <c r="AW15" i="2"/>
  <c r="AV15" i="2"/>
  <c r="AU15" i="2"/>
  <c r="AT15" i="2"/>
  <c r="AS15" i="2"/>
  <c r="AR15" i="2"/>
  <c r="AQ15" i="2"/>
  <c r="AP15" i="2"/>
  <c r="AO15" i="2"/>
  <c r="AN15" i="2"/>
  <c r="AM15" i="2"/>
  <c r="AL15" i="2"/>
  <c r="AK15" i="2"/>
  <c r="BI14" i="2"/>
  <c r="BH14" i="2"/>
  <c r="BG14" i="2"/>
  <c r="BF14" i="2"/>
  <c r="BE14" i="2"/>
  <c r="BD14" i="2"/>
  <c r="BC14" i="2"/>
  <c r="BB14" i="2"/>
  <c r="BA14" i="2"/>
  <c r="AZ14" i="2"/>
  <c r="AY14" i="2"/>
  <c r="AX14" i="2"/>
  <c r="AW14" i="2"/>
  <c r="AV14" i="2"/>
  <c r="AU14" i="2"/>
  <c r="AT14" i="2"/>
  <c r="AS14" i="2"/>
  <c r="AR14" i="2"/>
  <c r="AQ14" i="2"/>
  <c r="AP14" i="2"/>
  <c r="AO14" i="2"/>
  <c r="AN14" i="2"/>
  <c r="AM14" i="2"/>
  <c r="AL14" i="2"/>
  <c r="AK14" i="2"/>
  <c r="BI13" i="2"/>
  <c r="BH13" i="2"/>
  <c r="BG13" i="2"/>
  <c r="BF13" i="2"/>
  <c r="BE13" i="2"/>
  <c r="BD13" i="2"/>
  <c r="BC13" i="2"/>
  <c r="BB13" i="2"/>
  <c r="BA13" i="2"/>
  <c r="AZ13" i="2"/>
  <c r="AY13" i="2"/>
  <c r="AX13" i="2"/>
  <c r="AW13" i="2"/>
  <c r="AV13" i="2"/>
  <c r="AU13" i="2"/>
  <c r="AT13" i="2"/>
  <c r="AS13" i="2"/>
  <c r="AR13" i="2"/>
  <c r="AQ13" i="2"/>
  <c r="AP13" i="2"/>
  <c r="AO13" i="2"/>
  <c r="AN13" i="2"/>
  <c r="AM13" i="2"/>
  <c r="AL13" i="2"/>
  <c r="AK13" i="2"/>
  <c r="BI12" i="2"/>
  <c r="BH12" i="2"/>
  <c r="BG12" i="2"/>
  <c r="BF12" i="2"/>
  <c r="BE12" i="2"/>
  <c r="BD12" i="2"/>
  <c r="BC12" i="2"/>
  <c r="BB12" i="2"/>
  <c r="BA12" i="2"/>
  <c r="AZ12" i="2"/>
  <c r="AY12" i="2"/>
  <c r="AX12" i="2"/>
  <c r="AW12" i="2"/>
  <c r="AV12" i="2"/>
  <c r="AU12" i="2"/>
  <c r="AT12" i="2"/>
  <c r="AS12" i="2"/>
  <c r="AR12" i="2"/>
  <c r="AQ12" i="2"/>
  <c r="AP12" i="2"/>
  <c r="AO12" i="2"/>
  <c r="AN12" i="2"/>
  <c r="AM12" i="2"/>
  <c r="AL12" i="2"/>
  <c r="AK12" i="2"/>
  <c r="BI11" i="2"/>
  <c r="BH11" i="2"/>
  <c r="BG11" i="2"/>
  <c r="BF11" i="2"/>
  <c r="BE11" i="2"/>
  <c r="BD11" i="2"/>
  <c r="BC11" i="2"/>
  <c r="BB11" i="2"/>
  <c r="BA11" i="2"/>
  <c r="AZ11" i="2"/>
  <c r="AY11" i="2"/>
  <c r="AX11" i="2"/>
  <c r="AW11" i="2"/>
  <c r="AV11" i="2"/>
  <c r="AU11" i="2"/>
  <c r="AT11" i="2"/>
  <c r="AS11" i="2"/>
  <c r="AR11" i="2"/>
  <c r="AQ11" i="2"/>
  <c r="AP11" i="2"/>
  <c r="AO11" i="2"/>
  <c r="AN11" i="2"/>
  <c r="AM11" i="2"/>
  <c r="AL11" i="2"/>
  <c r="AK11" i="2"/>
  <c r="BI10" i="2"/>
  <c r="BH10" i="2"/>
  <c r="BG10" i="2"/>
  <c r="BF10" i="2"/>
  <c r="BE10" i="2"/>
  <c r="BD10" i="2"/>
  <c r="BC10" i="2"/>
  <c r="BB10" i="2"/>
  <c r="BA10" i="2"/>
  <c r="AZ10" i="2"/>
  <c r="AY10" i="2"/>
  <c r="AX10" i="2"/>
  <c r="AW10" i="2"/>
  <c r="AV10" i="2"/>
  <c r="AU10" i="2"/>
  <c r="AT10" i="2"/>
  <c r="AS10" i="2"/>
  <c r="AR10" i="2"/>
  <c r="AQ10" i="2"/>
  <c r="AP10" i="2"/>
  <c r="AO10" i="2"/>
  <c r="AN10" i="2"/>
  <c r="AM10" i="2"/>
  <c r="AL10" i="2"/>
  <c r="AK10" i="2"/>
  <c r="BI9" i="2"/>
  <c r="BH9" i="2"/>
  <c r="BG9" i="2"/>
  <c r="BF9" i="2"/>
  <c r="BE9" i="2"/>
  <c r="BD9" i="2"/>
  <c r="BC9" i="2"/>
  <c r="BB9" i="2"/>
  <c r="BA9" i="2"/>
  <c r="AZ9" i="2"/>
  <c r="AY9" i="2"/>
  <c r="AX9" i="2"/>
  <c r="AW9" i="2"/>
  <c r="AV9" i="2"/>
  <c r="AU9" i="2"/>
  <c r="AT9" i="2"/>
  <c r="AS9" i="2"/>
  <c r="AR9" i="2"/>
  <c r="AQ9" i="2"/>
  <c r="AP9" i="2"/>
  <c r="AO9" i="2"/>
  <c r="AN9" i="2"/>
  <c r="AM9" i="2"/>
  <c r="AL9" i="2"/>
  <c r="AK9" i="2"/>
  <c r="BI8" i="2"/>
  <c r="BH8" i="2"/>
  <c r="BG8" i="2"/>
  <c r="BF8" i="2"/>
  <c r="BE8" i="2"/>
  <c r="BD8" i="2"/>
  <c r="BC8" i="2"/>
  <c r="BB8" i="2"/>
  <c r="BA8" i="2"/>
  <c r="AZ8" i="2"/>
  <c r="AY8" i="2"/>
  <c r="AX8" i="2"/>
  <c r="AW8" i="2"/>
  <c r="AV8" i="2"/>
  <c r="AU8" i="2"/>
  <c r="AT8" i="2"/>
  <c r="AS8" i="2"/>
  <c r="AR8" i="2"/>
  <c r="AQ8" i="2"/>
  <c r="AP8" i="2"/>
  <c r="AO8" i="2"/>
  <c r="AN8" i="2"/>
  <c r="AM8" i="2"/>
  <c r="AL8" i="2"/>
  <c r="AK8" i="2"/>
  <c r="BI7" i="2"/>
  <c r="BH7" i="2"/>
  <c r="BG7" i="2"/>
  <c r="BF7" i="2"/>
  <c r="BE7" i="2"/>
  <c r="BD7" i="2"/>
  <c r="BC7" i="2"/>
  <c r="BB7" i="2"/>
  <c r="BA7" i="2"/>
  <c r="AZ7" i="2"/>
  <c r="AY7" i="2"/>
  <c r="AX7" i="2"/>
  <c r="AW7" i="2"/>
  <c r="AV7" i="2"/>
  <c r="AU7" i="2"/>
  <c r="AT7" i="2"/>
  <c r="AS7" i="2"/>
  <c r="AR7" i="2"/>
  <c r="AQ7" i="2"/>
  <c r="AP7" i="2"/>
  <c r="AO7" i="2"/>
  <c r="AN7" i="2"/>
  <c r="AM7" i="2"/>
  <c r="AL7" i="2"/>
  <c r="AK7" i="2"/>
  <c r="BI6" i="2"/>
  <c r="BH6" i="2"/>
  <c r="BG6" i="2"/>
  <c r="BF6" i="2"/>
  <c r="BE6" i="2"/>
  <c r="BD6" i="2"/>
  <c r="BC6" i="2"/>
  <c r="BB6" i="2"/>
  <c r="BA6" i="2"/>
  <c r="AZ6" i="2"/>
  <c r="AY6" i="2"/>
  <c r="AX6" i="2"/>
  <c r="AW6" i="2"/>
  <c r="AV6" i="2"/>
  <c r="AU6" i="2"/>
  <c r="AT6" i="2"/>
  <c r="AS6" i="2"/>
  <c r="AR6" i="2"/>
  <c r="AQ6" i="2"/>
  <c r="AP6" i="2"/>
  <c r="AO6" i="2"/>
  <c r="AN6" i="2"/>
  <c r="AM6" i="2"/>
  <c r="AL6" i="2"/>
  <c r="AK6" i="2"/>
  <c r="BI5" i="2"/>
  <c r="BH5" i="2"/>
  <c r="BG5" i="2"/>
  <c r="BF5" i="2"/>
  <c r="BE5" i="2"/>
  <c r="BD5" i="2"/>
  <c r="BC5" i="2"/>
  <c r="BB5" i="2"/>
  <c r="BA5" i="2"/>
  <c r="AZ5" i="2"/>
  <c r="AY5" i="2"/>
  <c r="AX5" i="2"/>
  <c r="AW5" i="2"/>
  <c r="AV5" i="2"/>
  <c r="AU5" i="2"/>
  <c r="AT5" i="2"/>
  <c r="AS5" i="2"/>
  <c r="AR5" i="2"/>
  <c r="AQ5" i="2"/>
  <c r="AP5" i="2"/>
  <c r="AO5" i="2"/>
  <c r="AN5" i="2"/>
  <c r="AM5" i="2"/>
  <c r="AL5" i="2"/>
  <c r="AK5" i="2"/>
  <c r="BI4" i="2"/>
  <c r="BH4" i="2"/>
  <c r="BG4" i="2"/>
  <c r="BF4" i="2"/>
  <c r="BE4" i="2"/>
  <c r="BD4" i="2"/>
  <c r="BC4" i="2"/>
  <c r="BB4" i="2"/>
  <c r="BA4" i="2"/>
  <c r="AZ4" i="2"/>
  <c r="AY4" i="2"/>
  <c r="AX4" i="2"/>
  <c r="AW4" i="2"/>
  <c r="AV4" i="2"/>
  <c r="AU4" i="2"/>
  <c r="AT4" i="2"/>
  <c r="AS4" i="2"/>
  <c r="AR4" i="2"/>
  <c r="AQ4" i="2"/>
  <c r="AP4" i="2"/>
  <c r="AO4" i="2"/>
  <c r="AN4" i="2"/>
  <c r="AM4" i="2"/>
  <c r="AL4" i="2"/>
  <c r="AK4" i="2"/>
  <c r="BI3" i="2"/>
  <c r="BH3" i="2"/>
  <c r="BG3" i="2"/>
  <c r="BF3" i="2"/>
  <c r="BE3" i="2"/>
  <c r="BD3" i="2"/>
  <c r="BC3" i="2"/>
  <c r="BB3" i="2"/>
  <c r="BA3" i="2"/>
  <c r="AZ3" i="2"/>
  <c r="AY3" i="2"/>
  <c r="AX3" i="2"/>
  <c r="AW3" i="2"/>
  <c r="AV3" i="2"/>
  <c r="AU3" i="2"/>
  <c r="AT3" i="2"/>
  <c r="AS3" i="2"/>
  <c r="AR3" i="2"/>
  <c r="AQ3" i="2"/>
  <c r="AP3" i="2"/>
  <c r="AO3" i="2"/>
  <c r="AN3" i="2"/>
  <c r="AM3" i="2"/>
  <c r="AL3" i="2"/>
  <c r="AK3"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H281" i="11" l="1"/>
  <c r="H284" i="11"/>
  <c r="H285" i="11"/>
  <c r="H289" i="11"/>
  <c r="H292" i="11"/>
  <c r="H293" i="11"/>
  <c r="H297" i="11"/>
  <c r="H300" i="11"/>
  <c r="H301" i="11"/>
  <c r="H278" i="11"/>
  <c r="H279" i="11"/>
  <c r="H280" i="11"/>
  <c r="H282" i="11"/>
  <c r="H283" i="11"/>
  <c r="H286" i="11"/>
  <c r="H287" i="11"/>
  <c r="H288" i="11"/>
  <c r="H290" i="11"/>
  <c r="H291" i="11"/>
  <c r="H294" i="11"/>
  <c r="H295" i="11"/>
  <c r="H296" i="11"/>
  <c r="H298" i="11"/>
  <c r="H299" i="11"/>
  <c r="B302" i="11"/>
  <c r="C302" i="11"/>
  <c r="D302" i="11"/>
  <c r="E302" i="11"/>
  <c r="F302" i="11"/>
  <c r="G302" i="11"/>
  <c r="H277" i="11"/>
  <c r="W88" i="11"/>
  <c r="T66" i="2"/>
  <c r="Q81" i="2"/>
  <c r="Q79" i="2"/>
  <c r="Q67" i="2"/>
  <c r="Q23" i="2"/>
  <c r="K5" i="2"/>
  <c r="K3" i="2"/>
  <c r="K2" i="2"/>
  <c r="F78" i="2"/>
  <c r="G78" i="2" s="1"/>
  <c r="F61" i="2"/>
  <c r="F59" i="2"/>
  <c r="K15" i="2"/>
  <c r="K14" i="2"/>
  <c r="M88" i="11"/>
  <c r="H302" i="11" l="1"/>
  <c r="X88" i="11"/>
  <c r="H78" i="2"/>
  <c r="G61" i="2"/>
  <c r="H61" i="2" s="1"/>
  <c r="G59" i="2"/>
  <c r="H59" i="2" s="1"/>
  <c r="N88" i="11"/>
  <c r="O88" i="11" s="1"/>
  <c r="P88" i="11" s="1"/>
  <c r="Y88" i="11" l="1"/>
  <c r="AI72" i="2"/>
  <c r="R205" i="11" l="1"/>
  <c r="R18" i="11" l="1"/>
  <c r="R72" i="11"/>
  <c r="R16" i="11"/>
  <c r="R141" i="11"/>
  <c r="R188" i="11"/>
  <c r="R130" i="11"/>
  <c r="R83" i="11"/>
  <c r="R164" i="11"/>
  <c r="R87" i="11"/>
  <c r="R107" i="11"/>
  <c r="R64" i="11"/>
  <c r="R182" i="11"/>
  <c r="R41" i="11"/>
  <c r="R174" i="11"/>
  <c r="R180" i="11"/>
  <c r="R113" i="11"/>
  <c r="R170" i="11"/>
  <c r="R62" i="11"/>
  <c r="R153" i="11"/>
  <c r="R38" i="11" l="1"/>
  <c r="R200" i="11"/>
  <c r="R68" i="11"/>
  <c r="R65" i="11"/>
  <c r="R42" i="11"/>
  <c r="U156" i="11" l="1"/>
  <c r="M156" i="11"/>
  <c r="N156" i="11" s="1"/>
  <c r="U154" i="11"/>
  <c r="M154" i="11"/>
  <c r="N154" i="11" s="1"/>
  <c r="O154" i="11" s="1"/>
  <c r="P154" i="11" s="1"/>
  <c r="U51" i="11"/>
  <c r="M51" i="11"/>
  <c r="N51" i="11" s="1"/>
  <c r="O51" i="11" s="1"/>
  <c r="P51" i="11" s="1"/>
  <c r="U50" i="11"/>
  <c r="M50" i="11"/>
  <c r="U189" i="11"/>
  <c r="M189" i="11"/>
  <c r="U181" i="11"/>
  <c r="M181" i="11"/>
  <c r="N181" i="11" s="1"/>
  <c r="O181" i="11" s="1"/>
  <c r="P181" i="11" s="1"/>
  <c r="U113" i="11"/>
  <c r="M113" i="11"/>
  <c r="U171" i="11"/>
  <c r="M171" i="11"/>
  <c r="N171" i="11" s="1"/>
  <c r="U165" i="11"/>
  <c r="M165" i="11"/>
  <c r="U142" i="11"/>
  <c r="M142" i="11"/>
  <c r="N142" i="11" s="1"/>
  <c r="O142" i="11" s="1"/>
  <c r="P142" i="11" s="1"/>
  <c r="V165" i="11" l="1"/>
  <c r="W165" i="11" s="1"/>
  <c r="V171" i="11"/>
  <c r="W171" i="11" s="1"/>
  <c r="V50" i="11"/>
  <c r="W50" i="11" s="1"/>
  <c r="V51" i="11"/>
  <c r="W51" i="11" s="1"/>
  <c r="V142" i="11"/>
  <c r="W142" i="11" s="1"/>
  <c r="V154" i="11"/>
  <c r="W154" i="11" s="1"/>
  <c r="V113" i="11"/>
  <c r="W113" i="11" s="1"/>
  <c r="V181" i="11"/>
  <c r="W181" i="11" s="1"/>
  <c r="V189" i="11"/>
  <c r="W189" i="11" s="1"/>
  <c r="V156" i="11"/>
  <c r="W156" i="11" s="1"/>
  <c r="O156" i="11"/>
  <c r="P156" i="11" s="1"/>
  <c r="N50" i="11"/>
  <c r="O50" i="11" s="1"/>
  <c r="P50" i="11" s="1"/>
  <c r="N189" i="11"/>
  <c r="O189" i="11" s="1"/>
  <c r="P189" i="11" s="1"/>
  <c r="N113" i="11"/>
  <c r="O113" i="11" s="1"/>
  <c r="P113" i="11" s="1"/>
  <c r="O171" i="11"/>
  <c r="P171" i="11" s="1"/>
  <c r="N165" i="11"/>
  <c r="O165" i="11" s="1"/>
  <c r="P165" i="11" s="1"/>
  <c r="U111" i="11"/>
  <c r="M111" i="11"/>
  <c r="U103" i="11"/>
  <c r="M103" i="11"/>
  <c r="N103" i="11" s="1"/>
  <c r="O103" i="11" s="1"/>
  <c r="P103" i="11" s="1"/>
  <c r="U102" i="11"/>
  <c r="M102" i="11"/>
  <c r="N102" i="11" s="1"/>
  <c r="O102" i="11" s="1"/>
  <c r="P102" i="11" s="1"/>
  <c r="U97" i="11"/>
  <c r="M97" i="11"/>
  <c r="U19" i="11"/>
  <c r="M19" i="11"/>
  <c r="U10" i="11"/>
  <c r="M10" i="11"/>
  <c r="U157" i="11"/>
  <c r="M157" i="11"/>
  <c r="N157" i="11" s="1"/>
  <c r="O157" i="11" s="1"/>
  <c r="P157" i="11" s="1"/>
  <c r="U8" i="11"/>
  <c r="M8" i="11"/>
  <c r="X142" i="11" l="1"/>
  <c r="E259" i="11" s="1"/>
  <c r="X113" i="11"/>
  <c r="X171" i="11"/>
  <c r="E266" i="11" s="1"/>
  <c r="X154" i="11"/>
  <c r="E261" i="11" s="1"/>
  <c r="V157" i="11"/>
  <c r="W157" i="11" s="1"/>
  <c r="V102" i="11"/>
  <c r="W102" i="11" s="1"/>
  <c r="X102" i="11"/>
  <c r="Y102" i="11" s="1"/>
  <c r="X181" i="11"/>
  <c r="Y181" i="11" s="1"/>
  <c r="X51" i="11"/>
  <c r="Y51" i="11" s="1"/>
  <c r="Y113" i="11"/>
  <c r="V10" i="11"/>
  <c r="W10" i="11" s="1"/>
  <c r="X10" i="11" s="1"/>
  <c r="X50" i="11"/>
  <c r="Y50" i="11" s="1"/>
  <c r="V19" i="11"/>
  <c r="W19" i="11" s="1"/>
  <c r="V111" i="11"/>
  <c r="X156" i="11"/>
  <c r="Y156" i="11" s="1"/>
  <c r="V103" i="11"/>
  <c r="W103" i="11" s="1"/>
  <c r="V8" i="11"/>
  <c r="V97" i="11"/>
  <c r="W97" i="11" s="1"/>
  <c r="X189" i="11"/>
  <c r="Y142" i="11"/>
  <c r="X165" i="11"/>
  <c r="E264" i="11" s="1"/>
  <c r="N111" i="11"/>
  <c r="O111" i="11" s="1"/>
  <c r="P111" i="11" s="1"/>
  <c r="N97" i="11"/>
  <c r="O97" i="11" s="1"/>
  <c r="P97" i="11" s="1"/>
  <c r="N10" i="11"/>
  <c r="O10" i="11" s="1"/>
  <c r="P10" i="11" s="1"/>
  <c r="N19" i="11"/>
  <c r="O19" i="11" s="1"/>
  <c r="P19" i="11" s="1"/>
  <c r="N8" i="11"/>
  <c r="O8" i="11" s="1"/>
  <c r="P8" i="11" s="1"/>
  <c r="U74" i="11"/>
  <c r="U4" i="11"/>
  <c r="U5" i="11"/>
  <c r="U6" i="11"/>
  <c r="U7" i="11"/>
  <c r="U9" i="11"/>
  <c r="U12" i="11"/>
  <c r="U13" i="11"/>
  <c r="U14" i="11"/>
  <c r="U15" i="11"/>
  <c r="U16" i="11"/>
  <c r="U17" i="11"/>
  <c r="U18" i="11"/>
  <c r="U20" i="11"/>
  <c r="U21" i="11"/>
  <c r="U22" i="11"/>
  <c r="U23" i="11"/>
  <c r="U24" i="11"/>
  <c r="U25" i="11"/>
  <c r="U26" i="11"/>
  <c r="U27" i="11"/>
  <c r="U28" i="11"/>
  <c r="U29" i="11"/>
  <c r="U61" i="11"/>
  <c r="U31" i="11"/>
  <c r="U32" i="11"/>
  <c r="U34" i="11"/>
  <c r="U35" i="11"/>
  <c r="U36" i="11"/>
  <c r="U37" i="11"/>
  <c r="U38" i="11"/>
  <c r="U39" i="11"/>
  <c r="U40" i="11"/>
  <c r="U41" i="11"/>
  <c r="U42" i="11"/>
  <c r="U43" i="11"/>
  <c r="U44" i="11"/>
  <c r="U45" i="11"/>
  <c r="U33" i="11"/>
  <c r="U46" i="11"/>
  <c r="U47" i="11"/>
  <c r="U60" i="11"/>
  <c r="U48" i="11"/>
  <c r="U49" i="11"/>
  <c r="U52" i="11"/>
  <c r="U11" i="11"/>
  <c r="U53" i="11"/>
  <c r="U54" i="11"/>
  <c r="U55" i="11"/>
  <c r="U56" i="11"/>
  <c r="U57" i="11"/>
  <c r="U58" i="11"/>
  <c r="U59" i="11"/>
  <c r="U30" i="11"/>
  <c r="U62" i="11"/>
  <c r="U63" i="11"/>
  <c r="U64" i="11"/>
  <c r="U65" i="11"/>
  <c r="U66" i="11"/>
  <c r="U67" i="11"/>
  <c r="U68" i="11"/>
  <c r="U69" i="11"/>
  <c r="U70" i="11"/>
  <c r="U71" i="11"/>
  <c r="U72" i="11"/>
  <c r="U73" i="11"/>
  <c r="U3" i="11"/>
  <c r="U75" i="11"/>
  <c r="U200" i="11"/>
  <c r="U77" i="11"/>
  <c r="U78" i="11"/>
  <c r="U79" i="11"/>
  <c r="U80" i="11"/>
  <c r="U81" i="11"/>
  <c r="U82" i="11"/>
  <c r="U83" i="11"/>
  <c r="U84" i="11"/>
  <c r="U85" i="11"/>
  <c r="U86" i="11"/>
  <c r="U87" i="11"/>
  <c r="U89" i="11"/>
  <c r="U90" i="11"/>
  <c r="U91" i="11"/>
  <c r="U92" i="11"/>
  <c r="U96" i="11"/>
  <c r="U93" i="11"/>
  <c r="U94" i="11"/>
  <c r="U95" i="11"/>
  <c r="U98" i="11"/>
  <c r="U99" i="11"/>
  <c r="U100" i="11"/>
  <c r="U101" i="11"/>
  <c r="U104" i="11"/>
  <c r="U76" i="11"/>
  <c r="U106" i="11"/>
  <c r="U107" i="11"/>
  <c r="U108" i="11"/>
  <c r="U109" i="11"/>
  <c r="U110" i="11"/>
  <c r="U112" i="11"/>
  <c r="U114" i="11"/>
  <c r="U115" i="11"/>
  <c r="U116" i="11"/>
  <c r="U117" i="11"/>
  <c r="U118" i="11"/>
  <c r="U105" i="11"/>
  <c r="U120" i="11"/>
  <c r="U121" i="11"/>
  <c r="U122" i="11"/>
  <c r="U123" i="11"/>
  <c r="U124" i="11"/>
  <c r="U125" i="11"/>
  <c r="U126" i="11"/>
  <c r="U127" i="11"/>
  <c r="U128" i="11"/>
  <c r="U129" i="11"/>
  <c r="U130" i="11"/>
  <c r="U131" i="11"/>
  <c r="U132" i="11"/>
  <c r="U133" i="11"/>
  <c r="U134" i="11"/>
  <c r="U135" i="11"/>
  <c r="U136" i="11"/>
  <c r="U137" i="11"/>
  <c r="U138" i="11"/>
  <c r="U139" i="11"/>
  <c r="U140" i="11"/>
  <c r="U141" i="11"/>
  <c r="U143" i="11"/>
  <c r="U144" i="11"/>
  <c r="U145" i="11"/>
  <c r="U146" i="11"/>
  <c r="U147" i="11"/>
  <c r="U148" i="11"/>
  <c r="U149" i="11"/>
  <c r="U150" i="11"/>
  <c r="U151" i="11"/>
  <c r="U152" i="11"/>
  <c r="U153" i="11"/>
  <c r="U155" i="11"/>
  <c r="U158" i="11"/>
  <c r="U159" i="11"/>
  <c r="U160" i="11"/>
  <c r="U161" i="11"/>
  <c r="U162" i="11"/>
  <c r="U163" i="11"/>
  <c r="U164" i="11"/>
  <c r="U166" i="11"/>
  <c r="U167" i="11"/>
  <c r="U168" i="11"/>
  <c r="U169" i="11"/>
  <c r="U170" i="11"/>
  <c r="U172" i="11"/>
  <c r="U173" i="11"/>
  <c r="U174" i="11"/>
  <c r="U175" i="11"/>
  <c r="U176" i="11"/>
  <c r="U177" i="11"/>
  <c r="U178" i="11"/>
  <c r="U179" i="11"/>
  <c r="U180" i="11"/>
  <c r="U182" i="11"/>
  <c r="U183" i="11"/>
  <c r="U184" i="11"/>
  <c r="U185" i="11"/>
  <c r="U186" i="11"/>
  <c r="U187" i="11"/>
  <c r="U188" i="11"/>
  <c r="U190" i="11"/>
  <c r="U191" i="11"/>
  <c r="U192" i="11"/>
  <c r="U193" i="11"/>
  <c r="U194" i="11"/>
  <c r="U195" i="11"/>
  <c r="U196" i="11"/>
  <c r="U119" i="11"/>
  <c r="U197" i="11"/>
  <c r="U198" i="11"/>
  <c r="U199" i="11"/>
  <c r="U201" i="11"/>
  <c r="U202" i="11"/>
  <c r="U203" i="11"/>
  <c r="U204" i="11"/>
  <c r="U205" i="11"/>
  <c r="U2" i="11"/>
  <c r="P205" i="11"/>
  <c r="B2" i="9"/>
  <c r="R115" i="11"/>
  <c r="R80" i="11"/>
  <c r="R25" i="11"/>
  <c r="Y154" i="11" l="1"/>
  <c r="Y10" i="11"/>
  <c r="X103" i="11"/>
  <c r="Y103" i="11" s="1"/>
  <c r="X97" i="11"/>
  <c r="Y97" i="11" s="1"/>
  <c r="Y171" i="11"/>
  <c r="X19" i="11"/>
  <c r="E249" i="11" s="1"/>
  <c r="V192" i="11"/>
  <c r="W192" i="11" s="1"/>
  <c r="V153" i="11"/>
  <c r="W153" i="11" s="1"/>
  <c r="V110" i="11"/>
  <c r="W110" i="11" s="1"/>
  <c r="V194" i="11"/>
  <c r="W194" i="11" s="1"/>
  <c r="V176" i="11"/>
  <c r="W176" i="11" s="1"/>
  <c r="V147" i="11"/>
  <c r="W147" i="11" s="1"/>
  <c r="V122" i="11"/>
  <c r="W122" i="11" s="1"/>
  <c r="V96" i="11"/>
  <c r="W96" i="11" s="1"/>
  <c r="V68" i="11"/>
  <c r="W68" i="11" s="1"/>
  <c r="V44" i="11"/>
  <c r="W44" i="11" s="1"/>
  <c r="V201" i="11"/>
  <c r="W201" i="11" s="1"/>
  <c r="V166" i="11"/>
  <c r="W166" i="11" s="1"/>
  <c r="V146" i="11"/>
  <c r="W146" i="11" s="1"/>
  <c r="V121" i="11"/>
  <c r="W121" i="11" s="1"/>
  <c r="V101" i="11"/>
  <c r="W101" i="11" s="1"/>
  <c r="V67" i="11"/>
  <c r="W67" i="11" s="1"/>
  <c r="V43" i="11"/>
  <c r="V6" i="11"/>
  <c r="V183" i="11"/>
  <c r="W183" i="11" s="1"/>
  <c r="V136" i="11"/>
  <c r="W136" i="11" s="1"/>
  <c r="V120" i="11"/>
  <c r="W120" i="11" s="1"/>
  <c r="V91" i="11"/>
  <c r="W91" i="11" s="1"/>
  <c r="V57" i="11"/>
  <c r="W57" i="11" s="1"/>
  <c r="V34" i="11"/>
  <c r="W34" i="11" s="1"/>
  <c r="V16" i="11"/>
  <c r="V182" i="11"/>
  <c r="W182" i="11" s="1"/>
  <c r="V152" i="11"/>
  <c r="W152" i="11" s="1"/>
  <c r="V135" i="11"/>
  <c r="W135" i="11" s="1"/>
  <c r="V105" i="11"/>
  <c r="W105" i="11" s="1"/>
  <c r="V4" i="11"/>
  <c r="U210" i="11"/>
  <c r="U213" i="11" s="1"/>
  <c r="V2" i="11"/>
  <c r="V180" i="11"/>
  <c r="W180" i="11" s="1"/>
  <c r="V162" i="11"/>
  <c r="W162" i="11" s="1"/>
  <c r="V134" i="11"/>
  <c r="W134" i="11" s="1"/>
  <c r="V108" i="11"/>
  <c r="W108" i="11" s="1"/>
  <c r="V80" i="11"/>
  <c r="W80" i="11" s="1"/>
  <c r="V55" i="11"/>
  <c r="W55" i="11" s="1"/>
  <c r="V31" i="11"/>
  <c r="W31" i="11" s="1"/>
  <c r="V74" i="11"/>
  <c r="W74" i="11" s="1"/>
  <c r="V179" i="11"/>
  <c r="W179" i="11" s="1"/>
  <c r="V161" i="11"/>
  <c r="W161" i="11" s="1"/>
  <c r="V150" i="11"/>
  <c r="W150" i="11" s="1"/>
  <c r="V141" i="11"/>
  <c r="W141" i="11" s="1"/>
  <c r="V133" i="11"/>
  <c r="W133" i="11" s="1"/>
  <c r="V125" i="11"/>
  <c r="W125" i="11" s="1"/>
  <c r="V117" i="11"/>
  <c r="W117" i="11" s="1"/>
  <c r="V107" i="11"/>
  <c r="W107" i="11" s="1"/>
  <c r="V95" i="11"/>
  <c r="V87" i="11"/>
  <c r="W87" i="11" s="1"/>
  <c r="V79" i="11"/>
  <c r="V71" i="11"/>
  <c r="W71" i="11" s="1"/>
  <c r="V63" i="11"/>
  <c r="V54" i="11"/>
  <c r="W54" i="11" s="1"/>
  <c r="V46" i="11"/>
  <c r="W46" i="11" s="1"/>
  <c r="V39" i="11"/>
  <c r="W39" i="11" s="1"/>
  <c r="V61" i="11"/>
  <c r="W61" i="11" s="1"/>
  <c r="V22" i="11"/>
  <c r="V13" i="11"/>
  <c r="W13" i="11" s="1"/>
  <c r="V185" i="11"/>
  <c r="W185" i="11" s="1"/>
  <c r="V158" i="11"/>
  <c r="W158" i="11" s="1"/>
  <c r="V130" i="11"/>
  <c r="W130" i="11" s="1"/>
  <c r="V104" i="11"/>
  <c r="W104" i="11" s="1"/>
  <c r="V200" i="11"/>
  <c r="W200" i="11" s="1"/>
  <c r="V59" i="11"/>
  <c r="V27" i="11"/>
  <c r="W27" i="11" s="1"/>
  <c r="V7" i="11"/>
  <c r="W7" i="11" s="1"/>
  <c r="W111" i="11"/>
  <c r="X111" i="11" s="1"/>
  <c r="Y111" i="11" s="1"/>
  <c r="V175" i="11"/>
  <c r="W175" i="11" s="1"/>
  <c r="V83" i="11"/>
  <c r="W83" i="11" s="1"/>
  <c r="V58" i="11"/>
  <c r="W58" i="11" s="1"/>
  <c r="V26" i="11"/>
  <c r="W26" i="11" s="1"/>
  <c r="V164" i="11"/>
  <c r="W164" i="11" s="1"/>
  <c r="C220" i="11"/>
  <c r="G220" i="11" s="1"/>
  <c r="U220" i="11" s="1"/>
  <c r="V3" i="11"/>
  <c r="W3" i="11" s="1"/>
  <c r="V48" i="11"/>
  <c r="W48" i="11" s="1"/>
  <c r="V25" i="11"/>
  <c r="W25" i="11" s="1"/>
  <c r="V198" i="11"/>
  <c r="W198" i="11" s="1"/>
  <c r="V173" i="11"/>
  <c r="W173" i="11" s="1"/>
  <c r="V109" i="11"/>
  <c r="W109" i="11" s="1"/>
  <c r="V90" i="11"/>
  <c r="W90" i="11" s="1"/>
  <c r="V73" i="11"/>
  <c r="W73" i="11" s="1"/>
  <c r="V56" i="11"/>
  <c r="W56" i="11" s="1"/>
  <c r="V41" i="11"/>
  <c r="W41" i="11" s="1"/>
  <c r="V24" i="11"/>
  <c r="V190" i="11"/>
  <c r="W190" i="11" s="1"/>
  <c r="V151" i="11"/>
  <c r="W151" i="11" s="1"/>
  <c r="V126" i="11"/>
  <c r="W126" i="11" s="1"/>
  <c r="V98" i="11"/>
  <c r="W98" i="11" s="1"/>
  <c r="V64" i="11"/>
  <c r="W64" i="11" s="1"/>
  <c r="V40" i="11"/>
  <c r="W40" i="11" s="1"/>
  <c r="V23" i="11"/>
  <c r="W23" i="11" s="1"/>
  <c r="V14" i="11"/>
  <c r="Y165" i="11"/>
  <c r="V188" i="11"/>
  <c r="W188" i="11" s="1"/>
  <c r="C241" i="11"/>
  <c r="G241" i="11" s="1"/>
  <c r="U241" i="11" s="1"/>
  <c r="V204" i="11"/>
  <c r="W204" i="11" s="1"/>
  <c r="V187" i="11"/>
  <c r="W187" i="11" s="1"/>
  <c r="V178" i="11"/>
  <c r="W178" i="11" s="1"/>
  <c r="C233" i="11"/>
  <c r="G233" i="11" s="1"/>
  <c r="U233" i="11" s="1"/>
  <c r="V169" i="11"/>
  <c r="W169" i="11" s="1"/>
  <c r="V160" i="11"/>
  <c r="W160" i="11" s="1"/>
  <c r="V149" i="11"/>
  <c r="W149" i="11" s="1"/>
  <c r="V140" i="11"/>
  <c r="W140" i="11" s="1"/>
  <c r="V132" i="11"/>
  <c r="W132" i="11" s="1"/>
  <c r="V124" i="11"/>
  <c r="W124" i="11" s="1"/>
  <c r="V116" i="11"/>
  <c r="W116" i="11" s="1"/>
  <c r="V106" i="11"/>
  <c r="W106" i="11" s="1"/>
  <c r="X106" i="11"/>
  <c r="V94" i="11"/>
  <c r="W94" i="11" s="1"/>
  <c r="V86" i="11"/>
  <c r="W86" i="11" s="1"/>
  <c r="V78" i="11"/>
  <c r="W78" i="11" s="1"/>
  <c r="V70" i="11"/>
  <c r="W70" i="11" s="1"/>
  <c r="V62" i="11"/>
  <c r="W62" i="11" s="1"/>
  <c r="V53" i="11"/>
  <c r="W53" i="11" s="1"/>
  <c r="V33" i="11"/>
  <c r="W33" i="11" s="1"/>
  <c r="V38" i="11"/>
  <c r="W38" i="11" s="1"/>
  <c r="V29" i="11"/>
  <c r="W29" i="11" s="1"/>
  <c r="V21" i="11"/>
  <c r="W21" i="11" s="1"/>
  <c r="V12" i="11"/>
  <c r="X157" i="11"/>
  <c r="Y157" i="11" s="1"/>
  <c r="V202" i="11"/>
  <c r="W202" i="11" s="1"/>
  <c r="V167" i="11"/>
  <c r="W167" i="11" s="1"/>
  <c r="V138" i="11"/>
  <c r="W138" i="11" s="1"/>
  <c r="V114" i="11"/>
  <c r="W114" i="11" s="1"/>
  <c r="V84" i="11"/>
  <c r="W84" i="11" s="1"/>
  <c r="V52" i="11"/>
  <c r="W52" i="11" s="1"/>
  <c r="V36" i="11"/>
  <c r="W36" i="11" s="1"/>
  <c r="V18" i="11"/>
  <c r="W18" i="11" s="1"/>
  <c r="V193" i="11"/>
  <c r="W193" i="11" s="1"/>
  <c r="V184" i="11"/>
  <c r="W184" i="11" s="1"/>
  <c r="V155" i="11"/>
  <c r="W155" i="11" s="1"/>
  <c r="V137" i="11"/>
  <c r="W137" i="11" s="1"/>
  <c r="V129" i="11"/>
  <c r="W129" i="11" s="1"/>
  <c r="V112" i="11"/>
  <c r="W112" i="11" s="1"/>
  <c r="V92" i="11"/>
  <c r="W92" i="11" s="1"/>
  <c r="V75" i="11"/>
  <c r="W75" i="11" s="1"/>
  <c r="V49" i="11"/>
  <c r="W49" i="11" s="1"/>
  <c r="V35" i="11"/>
  <c r="W35" i="11" s="1"/>
  <c r="V17" i="11"/>
  <c r="W17" i="11" s="1"/>
  <c r="V199" i="11"/>
  <c r="W199" i="11" s="1"/>
  <c r="V174" i="11"/>
  <c r="W174" i="11" s="1"/>
  <c r="V145" i="11"/>
  <c r="W145" i="11" s="1"/>
  <c r="V128" i="11"/>
  <c r="W128" i="11" s="1"/>
  <c r="V100" i="11"/>
  <c r="W100" i="11" s="1"/>
  <c r="V82" i="11"/>
  <c r="W82" i="11" s="1"/>
  <c r="V66" i="11"/>
  <c r="W66" i="11" s="1"/>
  <c r="V42" i="11"/>
  <c r="W42" i="11" s="1"/>
  <c r="V5" i="11"/>
  <c r="W5" i="11" s="1"/>
  <c r="V191" i="11"/>
  <c r="W191" i="11" s="1"/>
  <c r="V163" i="11"/>
  <c r="W163" i="11" s="1"/>
  <c r="V144" i="11"/>
  <c r="W144" i="11" s="1"/>
  <c r="V127" i="11"/>
  <c r="V99" i="11"/>
  <c r="W99" i="11" s="1"/>
  <c r="V81" i="11"/>
  <c r="W81" i="11" s="1"/>
  <c r="V65" i="11"/>
  <c r="W65" i="11" s="1"/>
  <c r="V60" i="11"/>
  <c r="W60" i="11" s="1"/>
  <c r="V32" i="11"/>
  <c r="V15" i="11"/>
  <c r="W15" i="11" s="1"/>
  <c r="V197" i="11"/>
  <c r="W197" i="11" s="1"/>
  <c r="V172" i="11"/>
  <c r="W172" i="11" s="1"/>
  <c r="V143" i="11"/>
  <c r="V118" i="11"/>
  <c r="W118" i="11" s="1"/>
  <c r="V89" i="11"/>
  <c r="W89" i="11" s="1"/>
  <c r="V72" i="11"/>
  <c r="W72" i="11" s="1"/>
  <c r="V47" i="11"/>
  <c r="E268" i="11"/>
  <c r="Y189" i="11"/>
  <c r="V119" i="11"/>
  <c r="W119" i="11" s="1"/>
  <c r="V170" i="11"/>
  <c r="W170" i="11" s="1"/>
  <c r="V196" i="11"/>
  <c r="W196" i="11" s="1"/>
  <c r="V203" i="11"/>
  <c r="W203" i="11" s="1"/>
  <c r="V195" i="11"/>
  <c r="W195" i="11" s="1"/>
  <c r="V186" i="11"/>
  <c r="W186" i="11" s="1"/>
  <c r="V177" i="11"/>
  <c r="W177" i="11" s="1"/>
  <c r="V168" i="11"/>
  <c r="W168" i="11" s="1"/>
  <c r="V159" i="11"/>
  <c r="W159" i="11" s="1"/>
  <c r="V148" i="11"/>
  <c r="W148" i="11" s="1"/>
  <c r="V139" i="11"/>
  <c r="W139" i="11" s="1"/>
  <c r="V131" i="11"/>
  <c r="W131" i="11" s="1"/>
  <c r="V123" i="11"/>
  <c r="W123" i="11" s="1"/>
  <c r="V115" i="11"/>
  <c r="W115" i="11" s="1"/>
  <c r="V76" i="11"/>
  <c r="W76" i="11" s="1"/>
  <c r="V93" i="11"/>
  <c r="W93" i="11" s="1"/>
  <c r="V85" i="11"/>
  <c r="W85" i="11" s="1"/>
  <c r="V77" i="11"/>
  <c r="W77" i="11" s="1"/>
  <c r="V69" i="11"/>
  <c r="W69" i="11" s="1"/>
  <c r="V30" i="11"/>
  <c r="V11" i="11"/>
  <c r="W11" i="11" s="1"/>
  <c r="V45" i="11"/>
  <c r="W45" i="11" s="1"/>
  <c r="V37" i="11"/>
  <c r="W37" i="11" s="1"/>
  <c r="V28" i="11"/>
  <c r="V20" i="11"/>
  <c r="V9" i="11"/>
  <c r="W9" i="11" s="1"/>
  <c r="W8" i="11"/>
  <c r="X8" i="11" s="1"/>
  <c r="Y8" i="11" s="1"/>
  <c r="C240" i="11"/>
  <c r="G240" i="11" s="1"/>
  <c r="U240" i="11" s="1"/>
  <c r="C217" i="11"/>
  <c r="C228" i="11"/>
  <c r="G228" i="11" s="1"/>
  <c r="U228" i="11" s="1"/>
  <c r="C230" i="11"/>
  <c r="G230" i="11" s="1"/>
  <c r="C218" i="11"/>
  <c r="C219" i="11"/>
  <c r="C221" i="11"/>
  <c r="C222" i="11"/>
  <c r="G222" i="11" s="1"/>
  <c r="U222" i="11" s="1"/>
  <c r="V222" i="11" s="1"/>
  <c r="G2" i="16" s="1"/>
  <c r="C223" i="11"/>
  <c r="C224" i="11"/>
  <c r="C225" i="11"/>
  <c r="G225" i="11" s="1"/>
  <c r="U225" i="11" s="1"/>
  <c r="V225" i="11" s="1"/>
  <c r="J2" i="16" s="1"/>
  <c r="C226" i="11"/>
  <c r="G226" i="11" s="1"/>
  <c r="C227" i="11"/>
  <c r="C229" i="11"/>
  <c r="C231" i="11"/>
  <c r="C232" i="11"/>
  <c r="C234" i="11"/>
  <c r="C235" i="11"/>
  <c r="C236" i="11"/>
  <c r="C237" i="11"/>
  <c r="C238" i="11"/>
  <c r="C239" i="11"/>
  <c r="D2" i="12"/>
  <c r="X204" i="11" l="1"/>
  <c r="X77" i="11"/>
  <c r="X17" i="11"/>
  <c r="X3" i="11"/>
  <c r="X67" i="11"/>
  <c r="X115" i="11"/>
  <c r="X162" i="11"/>
  <c r="X159" i="11"/>
  <c r="C263" i="11" s="1"/>
  <c r="X114" i="11"/>
  <c r="X110" i="11"/>
  <c r="X173" i="11"/>
  <c r="X26" i="11"/>
  <c r="X174" i="11"/>
  <c r="X182" i="11"/>
  <c r="X178" i="11"/>
  <c r="X146" i="11"/>
  <c r="X158" i="11"/>
  <c r="B262" i="11" s="1"/>
  <c r="X18" i="11"/>
  <c r="X147" i="11"/>
  <c r="X194" i="11"/>
  <c r="X121" i="11"/>
  <c r="X109" i="11"/>
  <c r="X75" i="11"/>
  <c r="X27" i="11"/>
  <c r="X185" i="11"/>
  <c r="X31" i="11"/>
  <c r="X81" i="11"/>
  <c r="X150" i="11"/>
  <c r="X98" i="11"/>
  <c r="X105" i="11"/>
  <c r="X148" i="11"/>
  <c r="X84" i="11"/>
  <c r="X196" i="11"/>
  <c r="C270" i="11" s="1"/>
  <c r="H270" i="11" s="1"/>
  <c r="X93" i="11"/>
  <c r="X139" i="11"/>
  <c r="X172" i="11"/>
  <c r="X5" i="11"/>
  <c r="X52" i="11"/>
  <c r="X169" i="11"/>
  <c r="C265" i="11" s="1"/>
  <c r="H265" i="11" s="1"/>
  <c r="X130" i="11"/>
  <c r="X125" i="11"/>
  <c r="X134" i="11"/>
  <c r="X183" i="11"/>
  <c r="X68" i="11"/>
  <c r="X92" i="11"/>
  <c r="X78" i="11"/>
  <c r="X126" i="11"/>
  <c r="X58" i="11"/>
  <c r="X39" i="11"/>
  <c r="X55" i="11"/>
  <c r="X135" i="11"/>
  <c r="X166" i="11"/>
  <c r="X69" i="11"/>
  <c r="C251" i="11" s="1"/>
  <c r="X76" i="11"/>
  <c r="X195" i="11"/>
  <c r="X197" i="11"/>
  <c r="B271" i="11" s="1"/>
  <c r="X56" i="11"/>
  <c r="X100" i="11"/>
  <c r="X90" i="11"/>
  <c r="X83" i="11"/>
  <c r="X200" i="11"/>
  <c r="X107" i="11"/>
  <c r="X80" i="11"/>
  <c r="D253" i="11" s="1"/>
  <c r="X152" i="11"/>
  <c r="X120" i="11"/>
  <c r="X23" i="11"/>
  <c r="X45" i="11"/>
  <c r="X85" i="11"/>
  <c r="X168" i="11"/>
  <c r="X60" i="11"/>
  <c r="X35" i="11"/>
  <c r="X129" i="11"/>
  <c r="G258" i="11" s="1"/>
  <c r="X36" i="11"/>
  <c r="X138" i="11"/>
  <c r="G259" i="11" s="1"/>
  <c r="X33" i="11"/>
  <c r="X160" i="11"/>
  <c r="X190" i="11"/>
  <c r="X54" i="11"/>
  <c r="X44" i="11"/>
  <c r="X9" i="11"/>
  <c r="X186" i="11"/>
  <c r="X170" i="11"/>
  <c r="X72" i="11"/>
  <c r="W127" i="11"/>
  <c r="X127" i="11" s="1"/>
  <c r="X199" i="11"/>
  <c r="X137" i="11"/>
  <c r="X38" i="11"/>
  <c r="X70" i="11"/>
  <c r="F251" i="11" s="1"/>
  <c r="X140" i="11"/>
  <c r="X188" i="11"/>
  <c r="B268" i="11" s="1"/>
  <c r="X64" i="11"/>
  <c r="X73" i="11"/>
  <c r="X198" i="11"/>
  <c r="C271" i="11" s="1"/>
  <c r="X13" i="11"/>
  <c r="X46" i="11"/>
  <c r="W79" i="11"/>
  <c r="X79" i="11" s="1"/>
  <c r="X117" i="11"/>
  <c r="W4" i="11"/>
  <c r="X4" i="11" s="1"/>
  <c r="X91" i="11"/>
  <c r="W6" i="11"/>
  <c r="X6" i="11" s="1"/>
  <c r="X153" i="11"/>
  <c r="W47" i="11"/>
  <c r="X47" i="11" s="1"/>
  <c r="F266" i="11"/>
  <c r="E253" i="11"/>
  <c r="W12" i="11"/>
  <c r="X12" i="11" s="1"/>
  <c r="W59" i="11"/>
  <c r="X59" i="11" s="1"/>
  <c r="W22" i="11"/>
  <c r="X22" i="11" s="1"/>
  <c r="W20" i="11"/>
  <c r="X20" i="11" s="1"/>
  <c r="X11" i="11"/>
  <c r="X123" i="11"/>
  <c r="X119" i="11"/>
  <c r="X89" i="11"/>
  <c r="X65" i="11"/>
  <c r="X144" i="11"/>
  <c r="X42" i="11"/>
  <c r="X128" i="11"/>
  <c r="X155" i="11"/>
  <c r="C262" i="11" s="1"/>
  <c r="X116" i="11"/>
  <c r="X149" i="11"/>
  <c r="X187" i="11"/>
  <c r="W14" i="11"/>
  <c r="X14" i="11" s="1"/>
  <c r="X25" i="11"/>
  <c r="F249" i="11" s="1"/>
  <c r="X164" i="11"/>
  <c r="X175" i="11"/>
  <c r="X87" i="11"/>
  <c r="X161" i="11"/>
  <c r="B263" i="11" s="1"/>
  <c r="X176" i="11"/>
  <c r="G266" i="11" s="1"/>
  <c r="X192" i="11"/>
  <c r="W24" i="11"/>
  <c r="X24" i="11" s="1"/>
  <c r="W16" i="11"/>
  <c r="X16" i="11" s="1"/>
  <c r="W43" i="11"/>
  <c r="X43" i="11" s="1"/>
  <c r="W28" i="11"/>
  <c r="X28" i="11" s="1"/>
  <c r="W30" i="11"/>
  <c r="X30" i="11" s="1"/>
  <c r="X131" i="11"/>
  <c r="X203" i="11"/>
  <c r="C273" i="11" s="1"/>
  <c r="H273" i="11" s="1"/>
  <c r="X118" i="11"/>
  <c r="X15" i="11"/>
  <c r="X163" i="11"/>
  <c r="X66" i="11"/>
  <c r="X145" i="11"/>
  <c r="X112" i="11"/>
  <c r="X184" i="11"/>
  <c r="B267" i="11" s="1"/>
  <c r="X167" i="11"/>
  <c r="B264" i="11" s="1"/>
  <c r="X21" i="11"/>
  <c r="X53" i="11"/>
  <c r="X86" i="11"/>
  <c r="X124" i="11"/>
  <c r="X41" i="11"/>
  <c r="X48" i="11"/>
  <c r="X61" i="11"/>
  <c r="B250" i="11" s="1"/>
  <c r="W63" i="11"/>
  <c r="X63" i="11" s="1"/>
  <c r="W95" i="11"/>
  <c r="X95" i="11" s="1"/>
  <c r="B254" i="11" s="1"/>
  <c r="X133" i="11"/>
  <c r="X179" i="11"/>
  <c r="X180" i="11"/>
  <c r="X34" i="11"/>
  <c r="X136" i="11"/>
  <c r="X96" i="11"/>
  <c r="Y19" i="11"/>
  <c r="F250" i="11"/>
  <c r="W2" i="11"/>
  <c r="V210" i="11"/>
  <c r="V213" i="11" s="1"/>
  <c r="X37" i="11"/>
  <c r="X177" i="11"/>
  <c r="W143" i="11"/>
  <c r="X143" i="11" s="1"/>
  <c r="W32" i="11"/>
  <c r="X32" i="11" s="1"/>
  <c r="X99" i="11"/>
  <c r="X191" i="11"/>
  <c r="X82" i="11"/>
  <c r="X49" i="11"/>
  <c r="X193" i="11"/>
  <c r="X202" i="11"/>
  <c r="X29" i="11"/>
  <c r="X62" i="11"/>
  <c r="X94" i="11"/>
  <c r="X132" i="11"/>
  <c r="X40" i="11"/>
  <c r="X151" i="11"/>
  <c r="C260" i="11" s="1"/>
  <c r="H260" i="11" s="1"/>
  <c r="X7" i="11"/>
  <c r="X104" i="11"/>
  <c r="B255" i="11" s="1"/>
  <c r="X71" i="11"/>
  <c r="X141" i="11"/>
  <c r="X74" i="11"/>
  <c r="X108" i="11"/>
  <c r="X57" i="11"/>
  <c r="X101" i="11"/>
  <c r="X201" i="11"/>
  <c r="X122" i="11"/>
  <c r="V220" i="11"/>
  <c r="E2" i="16" s="1"/>
  <c r="V241" i="11"/>
  <c r="Z2" i="16" s="1"/>
  <c r="U230" i="11"/>
  <c r="V230" i="11" s="1"/>
  <c r="O2" i="16" s="1"/>
  <c r="G235" i="11"/>
  <c r="U235" i="11" s="1"/>
  <c r="V235" i="11" s="1"/>
  <c r="T2" i="16" s="1"/>
  <c r="G238" i="11"/>
  <c r="U238" i="11" s="1"/>
  <c r="G237" i="11"/>
  <c r="U237" i="11" s="1"/>
  <c r="V240" i="11"/>
  <c r="Y2" i="16" s="1"/>
  <c r="G236" i="11"/>
  <c r="U236" i="11" s="1"/>
  <c r="G234" i="11"/>
  <c r="U234" i="11" s="1"/>
  <c r="V233" i="11"/>
  <c r="R2" i="16" s="1"/>
  <c r="G239" i="11"/>
  <c r="U239" i="11" s="1"/>
  <c r="G232" i="11"/>
  <c r="U232" i="11" s="1"/>
  <c r="G217" i="11"/>
  <c r="U217" i="11" s="1"/>
  <c r="G218" i="11"/>
  <c r="U218" i="11" s="1"/>
  <c r="G219" i="11"/>
  <c r="U219" i="11" s="1"/>
  <c r="G221" i="11"/>
  <c r="U221" i="11" s="1"/>
  <c r="G223" i="11"/>
  <c r="U223" i="11" s="1"/>
  <c r="G224" i="11"/>
  <c r="U224" i="11" s="1"/>
  <c r="U226" i="11"/>
  <c r="V226" i="11" s="1"/>
  <c r="K2" i="16" s="1"/>
  <c r="G227" i="11"/>
  <c r="U227" i="11" s="1"/>
  <c r="V228" i="11"/>
  <c r="M2" i="16" s="1"/>
  <c r="G229" i="11"/>
  <c r="U229" i="11" s="1"/>
  <c r="C242" i="11"/>
  <c r="G231" i="11"/>
  <c r="M84" i="11"/>
  <c r="M100" i="11"/>
  <c r="M185" i="11"/>
  <c r="C267" i="11" l="1"/>
  <c r="B257" i="11"/>
  <c r="C255" i="11"/>
  <c r="H255" i="11" s="1"/>
  <c r="H262" i="11"/>
  <c r="C261" i="11"/>
  <c r="H261" i="11" s="1"/>
  <c r="C256" i="11"/>
  <c r="B259" i="11"/>
  <c r="C253" i="11"/>
  <c r="C252" i="11"/>
  <c r="H252" i="11" s="1"/>
  <c r="H263" i="11"/>
  <c r="V224" i="11"/>
  <c r="I2" i="16" s="1"/>
  <c r="V239" i="11"/>
  <c r="X2" i="16" s="1"/>
  <c r="C254" i="11"/>
  <c r="D249" i="11"/>
  <c r="D274" i="11" s="1"/>
  <c r="V237" i="11"/>
  <c r="V2" i="16" s="1"/>
  <c r="C272" i="11"/>
  <c r="H272" i="11" s="1"/>
  <c r="C249" i="11"/>
  <c r="C264" i="11"/>
  <c r="H264" i="11" s="1"/>
  <c r="C250" i="11"/>
  <c r="H250" i="11" s="1"/>
  <c r="B269" i="11"/>
  <c r="B253" i="11"/>
  <c r="B256" i="11"/>
  <c r="H256" i="11" s="1"/>
  <c r="C259" i="11"/>
  <c r="H259" i="11" s="1"/>
  <c r="C258" i="11"/>
  <c r="G249" i="11"/>
  <c r="G274" i="11" s="1"/>
  <c r="W210" i="11"/>
  <c r="W213" i="11" s="1"/>
  <c r="F267" i="11"/>
  <c r="H267" i="11" s="1"/>
  <c r="B266" i="11"/>
  <c r="E254" i="11"/>
  <c r="E274" i="11" s="1"/>
  <c r="B258" i="11"/>
  <c r="C269" i="11"/>
  <c r="C257" i="11"/>
  <c r="H257" i="11" s="1"/>
  <c r="C266" i="11"/>
  <c r="B251" i="11"/>
  <c r="H251" i="11" s="1"/>
  <c r="H271" i="11"/>
  <c r="C268" i="11"/>
  <c r="H268" i="11" s="1"/>
  <c r="X2" i="11"/>
  <c r="V219" i="11"/>
  <c r="D2" i="16" s="1"/>
  <c r="V227" i="11"/>
  <c r="L2" i="16" s="1"/>
  <c r="V234" i="11"/>
  <c r="S2" i="16" s="1"/>
  <c r="V218" i="11"/>
  <c r="C2" i="16" s="1"/>
  <c r="V238" i="11"/>
  <c r="W2" i="16" s="1"/>
  <c r="V229" i="11"/>
  <c r="N2" i="16" s="1"/>
  <c r="V223" i="11"/>
  <c r="H2" i="16" s="1"/>
  <c r="V236" i="11"/>
  <c r="U2" i="16" s="1"/>
  <c r="V221" i="11"/>
  <c r="F2" i="16" s="1"/>
  <c r="V232" i="11"/>
  <c r="Q2" i="16" s="1"/>
  <c r="V217" i="11"/>
  <c r="B2" i="16" s="1"/>
  <c r="U231" i="11"/>
  <c r="U242" i="11" s="1"/>
  <c r="G242" i="11"/>
  <c r="N84" i="11"/>
  <c r="O84" i="11" s="1"/>
  <c r="P84" i="11" s="1"/>
  <c r="Y84" i="11" s="1"/>
  <c r="N100" i="11"/>
  <c r="O100" i="11" s="1"/>
  <c r="P100" i="11" s="1"/>
  <c r="Y100" i="11" s="1"/>
  <c r="N185" i="11"/>
  <c r="O185" i="11" s="1"/>
  <c r="P185" i="11" s="1"/>
  <c r="Y185" i="11" s="1"/>
  <c r="H253" i="11" l="1"/>
  <c r="V231" i="11"/>
  <c r="P2" i="16" s="1"/>
  <c r="F274" i="11"/>
  <c r="H266" i="11"/>
  <c r="H254" i="11"/>
  <c r="H269" i="11"/>
  <c r="C274" i="11"/>
  <c r="B249" i="11"/>
  <c r="X210" i="11"/>
  <c r="X213" i="11" s="1"/>
  <c r="H258" i="11"/>
  <c r="M121" i="11"/>
  <c r="V242" i="11" l="1"/>
  <c r="V244" i="11" s="1"/>
  <c r="H249" i="11"/>
  <c r="B274" i="11"/>
  <c r="N121" i="11"/>
  <c r="O121" i="11" s="1"/>
  <c r="P121" i="11" s="1"/>
  <c r="Y121" i="11" s="1"/>
  <c r="F2" i="2"/>
  <c r="G2" i="2" s="1"/>
  <c r="F3" i="2"/>
  <c r="G3" i="2" s="1"/>
  <c r="F4" i="2"/>
  <c r="G4" i="2" s="1"/>
  <c r="F5" i="2"/>
  <c r="G5" i="2" s="1"/>
  <c r="F6" i="2"/>
  <c r="G6" i="2" s="1"/>
  <c r="F7" i="2"/>
  <c r="G7" i="2" s="1"/>
  <c r="F8" i="2"/>
  <c r="G8" i="2" s="1"/>
  <c r="F9" i="2"/>
  <c r="G9" i="2" s="1"/>
  <c r="F10" i="2"/>
  <c r="G10" i="2" s="1"/>
  <c r="F11" i="2"/>
  <c r="G11" i="2" s="1"/>
  <c r="F12" i="2"/>
  <c r="G12" i="2" s="1"/>
  <c r="F13" i="2"/>
  <c r="G13" i="2" s="1"/>
  <c r="F14" i="2"/>
  <c r="G14" i="2" s="1"/>
  <c r="F15" i="2"/>
  <c r="G15" i="2" s="1"/>
  <c r="F16" i="2"/>
  <c r="G16" i="2" s="1"/>
  <c r="F17" i="2"/>
  <c r="G17" i="2" s="1"/>
  <c r="F18" i="2"/>
  <c r="G18" i="2" s="1"/>
  <c r="F19" i="2"/>
  <c r="G19" i="2" s="1"/>
  <c r="F20" i="2"/>
  <c r="G20" i="2" s="1"/>
  <c r="F21" i="2"/>
  <c r="G21" i="2" s="1"/>
  <c r="F22" i="2"/>
  <c r="G22" i="2" s="1"/>
  <c r="F23" i="2"/>
  <c r="G23" i="2" s="1"/>
  <c r="F24" i="2"/>
  <c r="G24"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60" i="2"/>
  <c r="G60"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F91" i="2"/>
  <c r="G91" i="2" s="1"/>
  <c r="F92" i="2"/>
  <c r="G92" i="2" s="1"/>
  <c r="F93" i="2"/>
  <c r="G93" i="2" s="1"/>
  <c r="F94" i="2"/>
  <c r="G94" i="2" s="1"/>
  <c r="F95" i="2"/>
  <c r="G95"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F128" i="2"/>
  <c r="G128" i="2" s="1"/>
  <c r="F129" i="2"/>
  <c r="G129" i="2" s="1"/>
  <c r="F130" i="2"/>
  <c r="G130" i="2" s="1"/>
  <c r="O4" i="13" l="1"/>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O102"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3" i="13"/>
  <c r="N112" i="13"/>
  <c r="K112" i="13"/>
  <c r="L112" i="13" s="1"/>
  <c r="N106" i="13"/>
  <c r="K106" i="13"/>
  <c r="L106" i="13" s="1"/>
  <c r="N94" i="13"/>
  <c r="N80" i="13"/>
  <c r="K94" i="13"/>
  <c r="L94" i="13" s="1"/>
  <c r="N59" i="13"/>
  <c r="N61" i="13"/>
  <c r="N63" i="13"/>
  <c r="K80" i="13"/>
  <c r="L80" i="13" s="1"/>
  <c r="K63" i="13" l="1"/>
  <c r="L63" i="13" s="1"/>
  <c r="K61" i="13"/>
  <c r="L61" i="13" s="1"/>
  <c r="K62" i="13"/>
  <c r="K59" i="13"/>
  <c r="L59" i="13" s="1"/>
  <c r="R43" i="13" l="1"/>
  <c r="N4" i="13" l="1"/>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60" i="13"/>
  <c r="N62" i="13"/>
  <c r="N64" i="13"/>
  <c r="N65" i="13"/>
  <c r="N66" i="13"/>
  <c r="N67" i="13"/>
  <c r="N68" i="13"/>
  <c r="N69" i="13"/>
  <c r="N70" i="13"/>
  <c r="N71" i="13"/>
  <c r="N72" i="13"/>
  <c r="N73" i="13"/>
  <c r="N74" i="13"/>
  <c r="N75" i="13"/>
  <c r="N76" i="13"/>
  <c r="N77" i="13"/>
  <c r="N78" i="13"/>
  <c r="N79" i="13"/>
  <c r="N81" i="13"/>
  <c r="N82" i="13"/>
  <c r="N83" i="13"/>
  <c r="N84" i="13"/>
  <c r="N85" i="13"/>
  <c r="N86" i="13"/>
  <c r="N87" i="13"/>
  <c r="N88" i="13"/>
  <c r="N89" i="13"/>
  <c r="N90" i="13"/>
  <c r="N91" i="13"/>
  <c r="N92" i="13"/>
  <c r="N93" i="13"/>
  <c r="N95" i="13"/>
  <c r="N96" i="13"/>
  <c r="N97" i="13"/>
  <c r="N98" i="13"/>
  <c r="N99" i="13"/>
  <c r="N100" i="13"/>
  <c r="N101" i="13"/>
  <c r="N113" i="13"/>
  <c r="N114" i="13"/>
  <c r="N115" i="13"/>
  <c r="N116" i="13"/>
  <c r="N102" i="13"/>
  <c r="N117" i="13"/>
  <c r="N118" i="13"/>
  <c r="N119" i="13"/>
  <c r="N120" i="13"/>
  <c r="N121" i="13"/>
  <c r="N122" i="13"/>
  <c r="N107" i="13"/>
  <c r="N108" i="13"/>
  <c r="N109" i="13"/>
  <c r="N110" i="13"/>
  <c r="N111" i="13"/>
  <c r="N123" i="13"/>
  <c r="N124" i="13"/>
  <c r="N125" i="13"/>
  <c r="N126" i="13"/>
  <c r="N127" i="13"/>
  <c r="N128" i="13"/>
  <c r="N129" i="13"/>
  <c r="N130" i="13"/>
  <c r="N131" i="13"/>
  <c r="N132" i="13"/>
  <c r="N133" i="13"/>
  <c r="N134" i="13"/>
  <c r="N135" i="13"/>
  <c r="N3" i="13"/>
  <c r="K4" i="13"/>
  <c r="L4" i="13" s="1"/>
  <c r="K5" i="13"/>
  <c r="L5" i="13" s="1"/>
  <c r="K6" i="13"/>
  <c r="L6" i="13" s="1"/>
  <c r="K7" i="13"/>
  <c r="L7" i="13" s="1"/>
  <c r="K8" i="13"/>
  <c r="L8" i="13" s="1"/>
  <c r="K9" i="13"/>
  <c r="L9" i="13" s="1"/>
  <c r="K10" i="13"/>
  <c r="L10" i="13" s="1"/>
  <c r="K11" i="13"/>
  <c r="L11" i="13" s="1"/>
  <c r="K12" i="13"/>
  <c r="L12" i="13" s="1"/>
  <c r="K13" i="13"/>
  <c r="L13" i="13" s="1"/>
  <c r="K14" i="13"/>
  <c r="L14" i="13" s="1"/>
  <c r="K15" i="13"/>
  <c r="L15" i="13" s="1"/>
  <c r="K16" i="13"/>
  <c r="L16" i="13" s="1"/>
  <c r="K17" i="13"/>
  <c r="L17" i="13" s="1"/>
  <c r="K18" i="13"/>
  <c r="L18" i="13" s="1"/>
  <c r="K19" i="13"/>
  <c r="L19" i="13" s="1"/>
  <c r="K20" i="13"/>
  <c r="L20" i="13" s="1"/>
  <c r="K21" i="13"/>
  <c r="L21" i="13" s="1"/>
  <c r="K22" i="13"/>
  <c r="L22" i="13" s="1"/>
  <c r="K23" i="13"/>
  <c r="L23" i="13" s="1"/>
  <c r="K24" i="13"/>
  <c r="L24" i="13" s="1"/>
  <c r="K25" i="13"/>
  <c r="L25" i="13" s="1"/>
  <c r="K26" i="13"/>
  <c r="L26" i="13" s="1"/>
  <c r="K27" i="13"/>
  <c r="L27" i="13" s="1"/>
  <c r="K28" i="13"/>
  <c r="L28" i="13" s="1"/>
  <c r="K29" i="13"/>
  <c r="L29" i="13" s="1"/>
  <c r="K30" i="13"/>
  <c r="L30" i="13" s="1"/>
  <c r="K31" i="13"/>
  <c r="L31" i="13" s="1"/>
  <c r="K32" i="13"/>
  <c r="L32" i="13" s="1"/>
  <c r="K33" i="13"/>
  <c r="L33" i="13" s="1"/>
  <c r="K34" i="13"/>
  <c r="L34" i="13" s="1"/>
  <c r="K35" i="13"/>
  <c r="L35" i="13" s="1"/>
  <c r="K36" i="13"/>
  <c r="L36" i="13" s="1"/>
  <c r="K37" i="13"/>
  <c r="L37" i="13" s="1"/>
  <c r="K38" i="13"/>
  <c r="L38" i="13" s="1"/>
  <c r="K39" i="13"/>
  <c r="L39" i="13" s="1"/>
  <c r="K40" i="13"/>
  <c r="L40" i="13" s="1"/>
  <c r="K41" i="13"/>
  <c r="L41" i="13" s="1"/>
  <c r="K42" i="13"/>
  <c r="L42" i="13" s="1"/>
  <c r="K43" i="13"/>
  <c r="L43" i="13" s="1"/>
  <c r="K44" i="13"/>
  <c r="L44" i="13" s="1"/>
  <c r="K45" i="13"/>
  <c r="L45" i="13" s="1"/>
  <c r="K46" i="13"/>
  <c r="L46" i="13" s="1"/>
  <c r="K47" i="13"/>
  <c r="L47" i="13" s="1"/>
  <c r="K48" i="13"/>
  <c r="L48" i="13" s="1"/>
  <c r="K49" i="13"/>
  <c r="L49" i="13" s="1"/>
  <c r="K50" i="13"/>
  <c r="L50" i="13" s="1"/>
  <c r="K51" i="13"/>
  <c r="L51" i="13" s="1"/>
  <c r="K52" i="13"/>
  <c r="L52" i="13" s="1"/>
  <c r="K53" i="13"/>
  <c r="L53" i="13" s="1"/>
  <c r="K54" i="13"/>
  <c r="L54" i="13" s="1"/>
  <c r="K55" i="13"/>
  <c r="L55" i="13" s="1"/>
  <c r="K56" i="13"/>
  <c r="L56" i="13" s="1"/>
  <c r="K57" i="13"/>
  <c r="L57" i="13" s="1"/>
  <c r="K58" i="13"/>
  <c r="L58" i="13" s="1"/>
  <c r="K60" i="13"/>
  <c r="L60" i="13" s="1"/>
  <c r="L62" i="13"/>
  <c r="K64" i="13"/>
  <c r="L64" i="13" s="1"/>
  <c r="K65" i="13"/>
  <c r="L65" i="13" s="1"/>
  <c r="K66" i="13"/>
  <c r="L66" i="13" s="1"/>
  <c r="K67" i="13"/>
  <c r="L67" i="13" s="1"/>
  <c r="K68" i="13"/>
  <c r="L68" i="13" s="1"/>
  <c r="K69" i="13"/>
  <c r="L69" i="13" s="1"/>
  <c r="K70" i="13"/>
  <c r="L70" i="13" s="1"/>
  <c r="K71" i="13"/>
  <c r="L71" i="13" s="1"/>
  <c r="K72" i="13"/>
  <c r="L72" i="13" s="1"/>
  <c r="K73" i="13"/>
  <c r="L73" i="13" s="1"/>
  <c r="K74" i="13"/>
  <c r="L74" i="13" s="1"/>
  <c r="K75" i="13"/>
  <c r="L75" i="13" s="1"/>
  <c r="K76" i="13"/>
  <c r="L76" i="13" s="1"/>
  <c r="K77" i="13"/>
  <c r="L77" i="13" s="1"/>
  <c r="K78" i="13"/>
  <c r="L78" i="13" s="1"/>
  <c r="K79" i="13"/>
  <c r="L79" i="13" s="1"/>
  <c r="K81" i="13"/>
  <c r="L81" i="13" s="1"/>
  <c r="K82" i="13"/>
  <c r="L82" i="13" s="1"/>
  <c r="K83" i="13"/>
  <c r="L83" i="13" s="1"/>
  <c r="K84" i="13"/>
  <c r="L84" i="13" s="1"/>
  <c r="K85" i="13"/>
  <c r="L85" i="13" s="1"/>
  <c r="K86" i="13"/>
  <c r="L86" i="13" s="1"/>
  <c r="K87" i="13"/>
  <c r="L87" i="13" s="1"/>
  <c r="K88" i="13"/>
  <c r="L88" i="13" s="1"/>
  <c r="K89" i="13"/>
  <c r="L89" i="13" s="1"/>
  <c r="K90" i="13"/>
  <c r="L90" i="13" s="1"/>
  <c r="K91" i="13"/>
  <c r="L91" i="13" s="1"/>
  <c r="K92" i="13"/>
  <c r="L92" i="13" s="1"/>
  <c r="K93" i="13"/>
  <c r="L93" i="13" s="1"/>
  <c r="K95" i="13"/>
  <c r="L95" i="13" s="1"/>
  <c r="K96" i="13"/>
  <c r="L96" i="13" s="1"/>
  <c r="K97" i="13"/>
  <c r="L97" i="13" s="1"/>
  <c r="K98" i="13"/>
  <c r="L98" i="13" s="1"/>
  <c r="K99" i="13"/>
  <c r="L99" i="13" s="1"/>
  <c r="K100" i="13"/>
  <c r="L100" i="13" s="1"/>
  <c r="K101" i="13"/>
  <c r="L101" i="13" s="1"/>
  <c r="K113" i="13"/>
  <c r="L113" i="13" s="1"/>
  <c r="K114" i="13"/>
  <c r="L114" i="13" s="1"/>
  <c r="K115" i="13"/>
  <c r="L115" i="13" s="1"/>
  <c r="K116" i="13"/>
  <c r="L116" i="13" s="1"/>
  <c r="K102" i="13"/>
  <c r="L102" i="13" s="1"/>
  <c r="K117" i="13"/>
  <c r="L117" i="13" s="1"/>
  <c r="K118" i="13"/>
  <c r="L118" i="13" s="1"/>
  <c r="K119" i="13"/>
  <c r="L119" i="13" s="1"/>
  <c r="K120" i="13"/>
  <c r="L120" i="13" s="1"/>
  <c r="K121" i="13"/>
  <c r="L121" i="13" s="1"/>
  <c r="K122" i="13"/>
  <c r="L122" i="13" s="1"/>
  <c r="K107" i="13"/>
  <c r="L107" i="13" s="1"/>
  <c r="K108" i="13"/>
  <c r="L108" i="13" s="1"/>
  <c r="K109" i="13"/>
  <c r="L109" i="13" s="1"/>
  <c r="K110" i="13"/>
  <c r="L110" i="13" s="1"/>
  <c r="K111" i="13"/>
  <c r="L111" i="13" s="1"/>
  <c r="K123" i="13"/>
  <c r="L123" i="13" s="1"/>
  <c r="K124" i="13"/>
  <c r="L124" i="13" s="1"/>
  <c r="K125" i="13"/>
  <c r="L125" i="13" s="1"/>
  <c r="K126" i="13"/>
  <c r="L126" i="13" s="1"/>
  <c r="K127" i="13"/>
  <c r="L127" i="13" s="1"/>
  <c r="K128" i="13"/>
  <c r="L128" i="13" s="1"/>
  <c r="K129" i="13"/>
  <c r="L129" i="13" s="1"/>
  <c r="K130" i="13"/>
  <c r="L130" i="13" s="1"/>
  <c r="K131" i="13"/>
  <c r="L131" i="13" s="1"/>
  <c r="K132" i="13"/>
  <c r="L132" i="13" s="1"/>
  <c r="K133" i="13"/>
  <c r="L133" i="13" s="1"/>
  <c r="K134" i="13"/>
  <c r="L134" i="13" s="1"/>
  <c r="K135" i="13"/>
  <c r="L135" i="13" s="1"/>
  <c r="K3" i="13"/>
  <c r="L3" i="13" s="1"/>
  <c r="M167" i="11" l="1"/>
  <c r="M174" i="11"/>
  <c r="N174" i="11" s="1"/>
  <c r="O174" i="11" s="1"/>
  <c r="P174" i="11" s="1"/>
  <c r="Y174" i="11" s="1"/>
  <c r="M184" i="11"/>
  <c r="M197" i="11"/>
  <c r="M110" i="11"/>
  <c r="M95" i="11"/>
  <c r="M37" i="11"/>
  <c r="N37" i="11" s="1"/>
  <c r="M33" i="11"/>
  <c r="N184" i="11" l="1"/>
  <c r="O184" i="11" s="1"/>
  <c r="P184" i="11" s="1"/>
  <c r="Y184" i="11" s="1"/>
  <c r="N95" i="11"/>
  <c r="O95" i="11" s="1"/>
  <c r="P95" i="11" s="1"/>
  <c r="Y95" i="11" s="1"/>
  <c r="N110" i="11"/>
  <c r="O110" i="11" s="1"/>
  <c r="P110" i="11" s="1"/>
  <c r="Y110" i="11" s="1"/>
  <c r="N167" i="11"/>
  <c r="O167" i="11" s="1"/>
  <c r="P167" i="11" s="1"/>
  <c r="Y167" i="11" s="1"/>
  <c r="N197" i="11"/>
  <c r="O197" i="11" s="1"/>
  <c r="P197" i="11" s="1"/>
  <c r="Y197" i="11" s="1"/>
  <c r="O37" i="11"/>
  <c r="P37" i="11" s="1"/>
  <c r="Y37" i="11" s="1"/>
  <c r="N33" i="11"/>
  <c r="O33" i="11" s="1"/>
  <c r="P33" i="11" s="1"/>
  <c r="Y33" i="11" s="1"/>
  <c r="J2" i="2" l="1"/>
  <c r="M126" i="11" l="1"/>
  <c r="M120" i="11"/>
  <c r="N120" i="11" s="1"/>
  <c r="M104" i="11"/>
  <c r="N104" i="11" s="1"/>
  <c r="O104" i="11" s="1"/>
  <c r="P104" i="11" s="1"/>
  <c r="Y104" i="11" s="1"/>
  <c r="N126" i="11" l="1"/>
  <c r="O126" i="11" s="1"/>
  <c r="P126" i="11" s="1"/>
  <c r="Y126" i="11" s="1"/>
  <c r="O120" i="11"/>
  <c r="P120" i="11" s="1"/>
  <c r="Y120" i="11" s="1"/>
  <c r="M80" i="11" l="1"/>
  <c r="M101" i="11"/>
  <c r="M94" i="11"/>
  <c r="M91" i="11"/>
  <c r="M78" i="11"/>
  <c r="N78" i="11" s="1"/>
  <c r="O78" i="11" s="1"/>
  <c r="P78" i="11" s="1"/>
  <c r="Y78" i="11" s="1"/>
  <c r="M49" i="11"/>
  <c r="M74" i="11"/>
  <c r="D7" i="12"/>
  <c r="D5" i="12" l="1"/>
  <c r="D3" i="12"/>
  <c r="D6" i="12"/>
  <c r="D4" i="12"/>
  <c r="N80" i="11"/>
  <c r="O80" i="11" s="1"/>
  <c r="P80" i="11" s="1"/>
  <c r="Y80" i="11" s="1"/>
  <c r="N101" i="11"/>
  <c r="O101" i="11" s="1"/>
  <c r="P101" i="11" s="1"/>
  <c r="Y101" i="11" s="1"/>
  <c r="N91" i="11"/>
  <c r="O91" i="11" s="1"/>
  <c r="P91" i="11" s="1"/>
  <c r="Y91" i="11" s="1"/>
  <c r="N94" i="11"/>
  <c r="O94" i="11" s="1"/>
  <c r="P94" i="11" s="1"/>
  <c r="Y94" i="11" s="1"/>
  <c r="N49" i="11"/>
  <c r="O49" i="11" s="1"/>
  <c r="P49" i="11" s="1"/>
  <c r="Y49" i="11" s="1"/>
  <c r="N74" i="11"/>
  <c r="O74" i="11" s="1"/>
  <c r="P74" i="11" s="1"/>
  <c r="Y74" i="11" s="1"/>
  <c r="M13" i="11"/>
  <c r="E6" i="12" l="1"/>
  <c r="F6" i="12" s="1"/>
  <c r="N13" i="11"/>
  <c r="O13" i="11" s="1"/>
  <c r="P13" i="11" s="1"/>
  <c r="Y13" i="11" s="1"/>
  <c r="G6" i="12" l="1"/>
  <c r="M141" i="11"/>
  <c r="N141" i="11" s="1"/>
  <c r="O141" i="11" s="1"/>
  <c r="P141" i="11" s="1"/>
  <c r="Y141" i="11" s="1"/>
  <c r="M96" i="11" l="1"/>
  <c r="M204" i="11"/>
  <c r="N204" i="11" s="1"/>
  <c r="M203" i="11"/>
  <c r="N203" i="11" s="1"/>
  <c r="O203" i="11" s="1"/>
  <c r="P203" i="11" s="1"/>
  <c r="Y203" i="11" s="1"/>
  <c r="M202" i="11"/>
  <c r="M201" i="11"/>
  <c r="N201" i="11" s="1"/>
  <c r="M198" i="11"/>
  <c r="N198" i="11" s="1"/>
  <c r="O198" i="11" s="1"/>
  <c r="P198" i="11" s="1"/>
  <c r="Y198" i="11" s="1"/>
  <c r="M108" i="11"/>
  <c r="M119" i="11"/>
  <c r="M196" i="11"/>
  <c r="N196" i="11" s="1"/>
  <c r="O196" i="11" s="1"/>
  <c r="P196" i="11" s="1"/>
  <c r="Y196" i="11" s="1"/>
  <c r="M195" i="11"/>
  <c r="N195" i="11" s="1"/>
  <c r="M194" i="11"/>
  <c r="M193" i="11"/>
  <c r="N193" i="11" s="1"/>
  <c r="M192" i="11"/>
  <c r="N192" i="11" s="1"/>
  <c r="O192" i="11" s="1"/>
  <c r="P192" i="11" s="1"/>
  <c r="Y192" i="11" s="1"/>
  <c r="M191" i="11"/>
  <c r="N191" i="11" s="1"/>
  <c r="O191" i="11" s="1"/>
  <c r="P191" i="11" s="1"/>
  <c r="Y191" i="11" s="1"/>
  <c r="M188" i="11"/>
  <c r="M190" i="11"/>
  <c r="M187" i="11"/>
  <c r="N187" i="11" s="1"/>
  <c r="O187" i="11" s="1"/>
  <c r="P187" i="11" s="1"/>
  <c r="Y187" i="11" s="1"/>
  <c r="M186" i="11"/>
  <c r="N186" i="11" s="1"/>
  <c r="M183" i="11"/>
  <c r="M179" i="11"/>
  <c r="N179" i="11" s="1"/>
  <c r="M182" i="11"/>
  <c r="N182" i="11" s="1"/>
  <c r="O182" i="11" s="1"/>
  <c r="P182" i="11" s="1"/>
  <c r="Y182" i="11" s="1"/>
  <c r="M180" i="11"/>
  <c r="N180" i="11" s="1"/>
  <c r="O180" i="11" s="1"/>
  <c r="P180" i="11" s="1"/>
  <c r="Y180" i="11" s="1"/>
  <c r="M176" i="11"/>
  <c r="M175" i="11"/>
  <c r="M173" i="11"/>
  <c r="M177" i="11"/>
  <c r="N177" i="11" s="1"/>
  <c r="M112" i="11"/>
  <c r="M98" i="11"/>
  <c r="N98" i="11" s="1"/>
  <c r="M170" i="11"/>
  <c r="N170" i="11" s="1"/>
  <c r="O170" i="11" s="1"/>
  <c r="P170" i="11" s="1"/>
  <c r="Y170" i="11" s="1"/>
  <c r="M169" i="11"/>
  <c r="M168" i="11"/>
  <c r="M166" i="11"/>
  <c r="M164" i="11"/>
  <c r="N164" i="11" s="1"/>
  <c r="O164" i="11" s="1"/>
  <c r="P164" i="11" s="1"/>
  <c r="Y164" i="11" s="1"/>
  <c r="M163" i="11"/>
  <c r="M162" i="11"/>
  <c r="M161" i="11"/>
  <c r="N161" i="11" s="1"/>
  <c r="O161" i="11" s="1"/>
  <c r="P161" i="11" s="1"/>
  <c r="Y161" i="11" s="1"/>
  <c r="M159" i="11"/>
  <c r="N159" i="11" s="1"/>
  <c r="O159" i="11" s="1"/>
  <c r="P159" i="11" s="1"/>
  <c r="Y159" i="11" s="1"/>
  <c r="M158" i="11"/>
  <c r="M153" i="11"/>
  <c r="N153" i="11" s="1"/>
  <c r="O153" i="11" s="1"/>
  <c r="P153" i="11" s="1"/>
  <c r="Y153" i="11" s="1"/>
  <c r="M152" i="11"/>
  <c r="N152" i="11" s="1"/>
  <c r="M151" i="11"/>
  <c r="M150" i="11"/>
  <c r="N150" i="11" s="1"/>
  <c r="M138" i="11"/>
  <c r="N138" i="11" s="1"/>
  <c r="O138" i="11" s="1"/>
  <c r="P138" i="11" s="1"/>
  <c r="Y138" i="11" s="1"/>
  <c r="M146" i="11"/>
  <c r="N146" i="11" s="1"/>
  <c r="O146" i="11" s="1"/>
  <c r="P146" i="11" s="1"/>
  <c r="Y146" i="11" s="1"/>
  <c r="M144" i="11"/>
  <c r="M149" i="11"/>
  <c r="M148" i="11"/>
  <c r="N148" i="11" s="1"/>
  <c r="O148" i="11" s="1"/>
  <c r="P148" i="11" s="1"/>
  <c r="Y148" i="11" s="1"/>
  <c r="M147" i="11"/>
  <c r="N147" i="11" s="1"/>
  <c r="O147" i="11" s="1"/>
  <c r="P147" i="11" s="1"/>
  <c r="Y147" i="11" s="1"/>
  <c r="M145" i="11"/>
  <c r="M143" i="11"/>
  <c r="N143" i="11" s="1"/>
  <c r="M160" i="11"/>
  <c r="N160" i="11" s="1"/>
  <c r="M140" i="11"/>
  <c r="N140" i="11" s="1"/>
  <c r="O140" i="11" s="1"/>
  <c r="P140" i="11" s="1"/>
  <c r="Y140" i="11" s="1"/>
  <c r="M139" i="11"/>
  <c r="M129" i="11"/>
  <c r="M133" i="11"/>
  <c r="N133" i="11" s="1"/>
  <c r="O133" i="11" s="1"/>
  <c r="P133" i="11" s="1"/>
  <c r="Y133" i="11" s="1"/>
  <c r="M131" i="11"/>
  <c r="N131" i="11" s="1"/>
  <c r="O131" i="11" s="1"/>
  <c r="P131" i="11" s="1"/>
  <c r="Y131" i="11" s="1"/>
  <c r="M137" i="11"/>
  <c r="M136" i="11"/>
  <c r="M135" i="11"/>
  <c r="N135" i="11" s="1"/>
  <c r="O135" i="11" s="1"/>
  <c r="P135" i="11" s="1"/>
  <c r="Y135" i="11" s="1"/>
  <c r="M134" i="11"/>
  <c r="N134" i="11" s="1"/>
  <c r="O134" i="11" s="1"/>
  <c r="P134" i="11" s="1"/>
  <c r="Y134" i="11" s="1"/>
  <c r="M132" i="11"/>
  <c r="M130" i="11"/>
  <c r="N130" i="11" s="1"/>
  <c r="M128" i="11"/>
  <c r="N128" i="11" s="1"/>
  <c r="M127" i="11"/>
  <c r="N127" i="11" s="1"/>
  <c r="O127" i="11" s="1"/>
  <c r="P127" i="11" s="1"/>
  <c r="Y127" i="11" s="1"/>
  <c r="M123" i="11"/>
  <c r="M125" i="11"/>
  <c r="N125" i="11" s="1"/>
  <c r="M124" i="11"/>
  <c r="N124" i="11" s="1"/>
  <c r="O124" i="11" s="1"/>
  <c r="P124" i="11" s="1"/>
  <c r="Y124" i="11" s="1"/>
  <c r="M155" i="11"/>
  <c r="N155" i="11" s="1"/>
  <c r="O155" i="11" s="1"/>
  <c r="P155" i="11" s="1"/>
  <c r="Y155" i="11" s="1"/>
  <c r="M122" i="11"/>
  <c r="M105" i="11"/>
  <c r="N105" i="11" s="1"/>
  <c r="M11" i="11"/>
  <c r="N11" i="11" s="1"/>
  <c r="O11" i="11" s="1"/>
  <c r="P11" i="11" s="1"/>
  <c r="Y11" i="11" s="1"/>
  <c r="M116" i="11"/>
  <c r="N116" i="11" s="1"/>
  <c r="O116" i="11" s="1"/>
  <c r="P116" i="11" s="1"/>
  <c r="Y116" i="11" s="1"/>
  <c r="M118" i="11"/>
  <c r="M117" i="11"/>
  <c r="M115" i="11"/>
  <c r="N115" i="11" s="1"/>
  <c r="O115" i="11" s="1"/>
  <c r="P115" i="11" s="1"/>
  <c r="Y115" i="11" s="1"/>
  <c r="M114" i="11"/>
  <c r="N114" i="11" s="1"/>
  <c r="O114" i="11" s="1"/>
  <c r="P114" i="11" s="1"/>
  <c r="Y114" i="11" s="1"/>
  <c r="M178" i="11"/>
  <c r="M109" i="11"/>
  <c r="N109" i="11" s="1"/>
  <c r="M172" i="11"/>
  <c r="N172" i="11" s="1"/>
  <c r="M107" i="11"/>
  <c r="N107" i="11" s="1"/>
  <c r="M106" i="11"/>
  <c r="M76" i="11"/>
  <c r="N76" i="11" s="1"/>
  <c r="M99" i="11"/>
  <c r="M199" i="11"/>
  <c r="N199" i="11" s="1"/>
  <c r="O199" i="11" s="1"/>
  <c r="P199" i="11" s="1"/>
  <c r="Y199" i="11" s="1"/>
  <c r="M93" i="11"/>
  <c r="M92" i="11"/>
  <c r="N92" i="11" s="1"/>
  <c r="M90" i="11"/>
  <c r="N90" i="11" s="1"/>
  <c r="M82" i="11"/>
  <c r="N82" i="11" s="1"/>
  <c r="M81" i="11"/>
  <c r="M89" i="11"/>
  <c r="N89" i="11" s="1"/>
  <c r="M87" i="11"/>
  <c r="N87" i="11" s="1"/>
  <c r="O87" i="11" s="1"/>
  <c r="P87" i="11" s="1"/>
  <c r="Y87" i="11" s="1"/>
  <c r="M86" i="11"/>
  <c r="N86" i="11" s="1"/>
  <c r="O86" i="11" s="1"/>
  <c r="P86" i="11" s="1"/>
  <c r="Y86" i="11" s="1"/>
  <c r="M85" i="11"/>
  <c r="M83" i="11"/>
  <c r="N83" i="11" s="1"/>
  <c r="M79" i="11"/>
  <c r="N79" i="11" s="1"/>
  <c r="M77" i="11"/>
  <c r="N77" i="11" s="1"/>
  <c r="M200" i="11"/>
  <c r="M75" i="11"/>
  <c r="N75" i="11" s="1"/>
  <c r="O75" i="11" s="1"/>
  <c r="P75" i="11" s="1"/>
  <c r="Y75" i="11" s="1"/>
  <c r="M3" i="11"/>
  <c r="N3" i="11" s="1"/>
  <c r="O3" i="11" s="1"/>
  <c r="P3" i="11" s="1"/>
  <c r="Y3" i="11" s="1"/>
  <c r="M73" i="11"/>
  <c r="M71" i="11"/>
  <c r="N71" i="11" s="1"/>
  <c r="M72" i="11"/>
  <c r="N72" i="11" s="1"/>
  <c r="O72" i="11" s="1"/>
  <c r="P72" i="11" s="1"/>
  <c r="Y72" i="11" s="1"/>
  <c r="M69" i="11"/>
  <c r="M70" i="11"/>
  <c r="N70" i="11" s="1"/>
  <c r="M30" i="11"/>
  <c r="M68" i="11"/>
  <c r="N68" i="11" s="1"/>
  <c r="O68" i="11" s="1"/>
  <c r="P68" i="11" s="1"/>
  <c r="Y68" i="11" s="1"/>
  <c r="M67" i="11"/>
  <c r="M66" i="11"/>
  <c r="N66" i="11" s="1"/>
  <c r="O66" i="11" s="1"/>
  <c r="P66" i="11" s="1"/>
  <c r="Y66" i="11" s="1"/>
  <c r="M65" i="11"/>
  <c r="N65" i="11" s="1"/>
  <c r="O65" i="11" s="1"/>
  <c r="P65" i="11" s="1"/>
  <c r="Y65" i="11" s="1"/>
  <c r="M64" i="11"/>
  <c r="N64" i="11" s="1"/>
  <c r="O64" i="11" s="1"/>
  <c r="P64" i="11" s="1"/>
  <c r="Y64" i="11" s="1"/>
  <c r="M63" i="11"/>
  <c r="M62" i="11"/>
  <c r="M59" i="11"/>
  <c r="N59" i="11" s="1"/>
  <c r="M57" i="11"/>
  <c r="N57" i="11" s="1"/>
  <c r="O57" i="11" s="1"/>
  <c r="P57" i="11" s="1"/>
  <c r="Y57" i="11" s="1"/>
  <c r="M56" i="11"/>
  <c r="M55" i="11"/>
  <c r="M54" i="11"/>
  <c r="M53" i="11"/>
  <c r="N53" i="11" s="1"/>
  <c r="O53" i="11" s="1"/>
  <c r="P53" i="11" s="1"/>
  <c r="Y53" i="11" s="1"/>
  <c r="M58" i="11"/>
  <c r="N58" i="11" s="1"/>
  <c r="O58" i="11" s="1"/>
  <c r="P58" i="11" s="1"/>
  <c r="Y58" i="11" s="1"/>
  <c r="M27" i="11"/>
  <c r="M52" i="11"/>
  <c r="M45" i="11"/>
  <c r="M36" i="11"/>
  <c r="M40" i="11"/>
  <c r="M32" i="11"/>
  <c r="N32" i="11" s="1"/>
  <c r="O32" i="11" s="1"/>
  <c r="P32" i="11" s="1"/>
  <c r="Y32" i="11" s="1"/>
  <c r="M61" i="11"/>
  <c r="N61" i="11" s="1"/>
  <c r="O61" i="11" s="1"/>
  <c r="P61" i="11" s="1"/>
  <c r="Y61" i="11" s="1"/>
  <c r="M29" i="11"/>
  <c r="M28" i="11"/>
  <c r="N28" i="11" s="1"/>
  <c r="M26" i="11"/>
  <c r="N26" i="11" s="1"/>
  <c r="O26" i="11" s="1"/>
  <c r="P26" i="11" s="1"/>
  <c r="Y26" i="11" s="1"/>
  <c r="M24" i="11"/>
  <c r="N24" i="11" s="1"/>
  <c r="O24" i="11" s="1"/>
  <c r="P24" i="11" s="1"/>
  <c r="Y24" i="11" s="1"/>
  <c r="M2" i="11"/>
  <c r="M9" i="11"/>
  <c r="N9" i="11" s="1"/>
  <c r="M48" i="11"/>
  <c r="N48" i="11" s="1"/>
  <c r="O48" i="11" s="1"/>
  <c r="P48" i="11" s="1"/>
  <c r="Y48" i="11" s="1"/>
  <c r="M60" i="11"/>
  <c r="N60" i="11" s="1"/>
  <c r="M46" i="11"/>
  <c r="N46" i="11" s="1"/>
  <c r="M44" i="11"/>
  <c r="N44" i="11" s="1"/>
  <c r="O44" i="11" s="1"/>
  <c r="P44" i="11" s="1"/>
  <c r="Y44" i="11" s="1"/>
  <c r="M43" i="11"/>
  <c r="M42" i="11"/>
  <c r="N42" i="11" s="1"/>
  <c r="M41" i="11"/>
  <c r="N41" i="11" s="1"/>
  <c r="M39" i="11"/>
  <c r="N39" i="11" s="1"/>
  <c r="O39" i="11" s="1"/>
  <c r="P39" i="11" s="1"/>
  <c r="Y39" i="11" s="1"/>
  <c r="M38" i="11"/>
  <c r="M35" i="11"/>
  <c r="N35" i="11" s="1"/>
  <c r="M34" i="11"/>
  <c r="N34" i="11" s="1"/>
  <c r="O34" i="11" s="1"/>
  <c r="P34" i="11" s="1"/>
  <c r="Y34" i="11" s="1"/>
  <c r="M31" i="11"/>
  <c r="M23" i="11"/>
  <c r="N23" i="11" s="1"/>
  <c r="M22" i="11"/>
  <c r="N22" i="11" s="1"/>
  <c r="M21" i="11"/>
  <c r="N21" i="11" s="1"/>
  <c r="O21" i="11" s="1"/>
  <c r="P21" i="11" s="1"/>
  <c r="Y21" i="11" s="1"/>
  <c r="M20" i="11"/>
  <c r="M18" i="11"/>
  <c r="M17" i="11"/>
  <c r="N17" i="11" s="1"/>
  <c r="O17" i="11" s="1"/>
  <c r="P17" i="11" s="1"/>
  <c r="Y17" i="11" s="1"/>
  <c r="M16" i="11"/>
  <c r="M15" i="11"/>
  <c r="M14" i="11"/>
  <c r="N14" i="11" s="1"/>
  <c r="O14" i="11" s="1"/>
  <c r="P14" i="11" s="1"/>
  <c r="Y14" i="11" s="1"/>
  <c r="M12" i="11"/>
  <c r="M7" i="11"/>
  <c r="N7" i="11" s="1"/>
  <c r="M6" i="11"/>
  <c r="N6" i="11" s="1"/>
  <c r="M5" i="11"/>
  <c r="M4" i="11"/>
  <c r="N4" i="11" s="1"/>
  <c r="M47" i="11"/>
  <c r="N47" i="11" s="1"/>
  <c r="O47" i="11" s="1"/>
  <c r="P47" i="11" s="1"/>
  <c r="Y47" i="11" s="1"/>
  <c r="M25" i="11"/>
  <c r="AB7" i="6"/>
  <c r="AA7" i="6"/>
  <c r="Z7" i="6"/>
  <c r="Y7" i="6"/>
  <c r="X7" i="6"/>
  <c r="W7" i="6"/>
  <c r="V7" i="6"/>
  <c r="U7" i="6"/>
  <c r="T7" i="6"/>
  <c r="S7" i="6"/>
  <c r="S10" i="6" s="1"/>
  <c r="R7" i="6"/>
  <c r="R10" i="6" s="1"/>
  <c r="Q7" i="6"/>
  <c r="Q10" i="6" s="1"/>
  <c r="P7" i="6"/>
  <c r="O7" i="6"/>
  <c r="N7" i="6"/>
  <c r="M7" i="6"/>
  <c r="L7" i="6"/>
  <c r="K7" i="6"/>
  <c r="J7" i="6"/>
  <c r="I7" i="6"/>
  <c r="H7" i="6"/>
  <c r="G7" i="6"/>
  <c r="F7" i="6"/>
  <c r="E7" i="6"/>
  <c r="D7" i="6"/>
  <c r="C6" i="6"/>
  <c r="C5" i="6"/>
  <c r="C4" i="6"/>
  <c r="C3" i="6"/>
  <c r="C2" i="6"/>
  <c r="E5" i="12" l="1"/>
  <c r="F5" i="12" s="1"/>
  <c r="N52" i="11"/>
  <c r="O52" i="11" s="1"/>
  <c r="P52" i="11" s="1"/>
  <c r="Y52" i="11" s="1"/>
  <c r="E2" i="9"/>
  <c r="O77" i="11"/>
  <c r="P77" i="11" s="1"/>
  <c r="Y77" i="11" s="1"/>
  <c r="O186" i="11"/>
  <c r="P186" i="11" s="1"/>
  <c r="Y186" i="11" s="1"/>
  <c r="O177" i="11"/>
  <c r="P177" i="11" s="1"/>
  <c r="Y177" i="11" s="1"/>
  <c r="O71" i="11"/>
  <c r="P71" i="11" s="1"/>
  <c r="Y71" i="11" s="1"/>
  <c r="O82" i="11"/>
  <c r="P82" i="11" s="1"/>
  <c r="Y82" i="11" s="1"/>
  <c r="N173" i="11"/>
  <c r="O173" i="11" s="1"/>
  <c r="P173" i="11" s="1"/>
  <c r="Y173" i="11" s="1"/>
  <c r="N56" i="11"/>
  <c r="O56" i="11" s="1"/>
  <c r="P56" i="11" s="1"/>
  <c r="Y56" i="11" s="1"/>
  <c r="N30" i="11"/>
  <c r="O30" i="11" s="1"/>
  <c r="P30" i="11" s="1"/>
  <c r="Y30" i="11" s="1"/>
  <c r="N99" i="11"/>
  <c r="O99" i="11" s="1"/>
  <c r="P99" i="11" s="1"/>
  <c r="Y99" i="11" s="1"/>
  <c r="O107" i="11"/>
  <c r="P107" i="11" s="1"/>
  <c r="Y107" i="11" s="1"/>
  <c r="O172" i="11"/>
  <c r="P172" i="11" s="1"/>
  <c r="Y172" i="11" s="1"/>
  <c r="O195" i="11"/>
  <c r="P195" i="11" s="1"/>
  <c r="Y195" i="11" s="1"/>
  <c r="N45" i="11"/>
  <c r="O45" i="11" s="1"/>
  <c r="P45" i="11" s="1"/>
  <c r="Y45" i="11" s="1"/>
  <c r="O160" i="11"/>
  <c r="P160" i="11" s="1"/>
  <c r="Y160" i="11" s="1"/>
  <c r="O22" i="11"/>
  <c r="P22" i="11" s="1"/>
  <c r="Y22" i="11" s="1"/>
  <c r="O41" i="11"/>
  <c r="P41" i="11" s="1"/>
  <c r="Y41" i="11" s="1"/>
  <c r="O79" i="11"/>
  <c r="P79" i="11" s="1"/>
  <c r="Y79" i="11" s="1"/>
  <c r="O90" i="11"/>
  <c r="P90" i="11" s="1"/>
  <c r="Y90" i="11" s="1"/>
  <c r="O128" i="11"/>
  <c r="P128" i="11" s="1"/>
  <c r="Y128" i="11" s="1"/>
  <c r="O143" i="11"/>
  <c r="P143" i="11" s="1"/>
  <c r="Y143" i="11" s="1"/>
  <c r="O98" i="11"/>
  <c r="P98" i="11" s="1"/>
  <c r="Y98" i="11" s="1"/>
  <c r="O204" i="11"/>
  <c r="P204" i="11" s="1"/>
  <c r="Y204" i="11" s="1"/>
  <c r="O6" i="11"/>
  <c r="P6" i="11" s="1"/>
  <c r="Y6" i="11" s="1"/>
  <c r="O42" i="11"/>
  <c r="P42" i="11" s="1"/>
  <c r="Y42" i="11" s="1"/>
  <c r="O9" i="11"/>
  <c r="P9" i="11" s="1"/>
  <c r="Y9" i="11" s="1"/>
  <c r="O193" i="11"/>
  <c r="P193" i="11" s="1"/>
  <c r="Y193" i="11" s="1"/>
  <c r="O46" i="11"/>
  <c r="P46" i="11" s="1"/>
  <c r="Y46" i="11" s="1"/>
  <c r="N117" i="11"/>
  <c r="O117" i="11" s="1"/>
  <c r="P117" i="11" s="1"/>
  <c r="Y117" i="11" s="1"/>
  <c r="N136" i="11"/>
  <c r="O136" i="11" s="1"/>
  <c r="P136" i="11" s="1"/>
  <c r="Y136" i="11" s="1"/>
  <c r="N166" i="11"/>
  <c r="O166" i="11" s="1"/>
  <c r="P166" i="11" s="1"/>
  <c r="Y166" i="11" s="1"/>
  <c r="N15" i="11"/>
  <c r="O15" i="11" s="1"/>
  <c r="P15" i="11" s="1"/>
  <c r="Y15" i="11" s="1"/>
  <c r="N54" i="11"/>
  <c r="O54" i="11" s="1"/>
  <c r="P54" i="11" s="1"/>
  <c r="Y54" i="11" s="1"/>
  <c r="O70" i="11"/>
  <c r="P70" i="11" s="1"/>
  <c r="Y70" i="11" s="1"/>
  <c r="O89" i="11"/>
  <c r="P89" i="11" s="1"/>
  <c r="Y89" i="11" s="1"/>
  <c r="O76" i="11"/>
  <c r="P76" i="11" s="1"/>
  <c r="Y76" i="11" s="1"/>
  <c r="O152" i="11"/>
  <c r="P152" i="11" s="1"/>
  <c r="Y152" i="11" s="1"/>
  <c r="N162" i="11"/>
  <c r="O162" i="11" s="1"/>
  <c r="P162" i="11" s="1"/>
  <c r="Y162" i="11" s="1"/>
  <c r="O179" i="11"/>
  <c r="P179" i="11" s="1"/>
  <c r="Y179" i="11" s="1"/>
  <c r="O7" i="11"/>
  <c r="P7" i="11" s="1"/>
  <c r="Y7" i="11" s="1"/>
  <c r="N40" i="11"/>
  <c r="O40" i="11" s="1"/>
  <c r="P40" i="11" s="1"/>
  <c r="Y40" i="11" s="1"/>
  <c r="O125" i="11"/>
  <c r="P125" i="11" s="1"/>
  <c r="Y125" i="11" s="1"/>
  <c r="O150" i="11"/>
  <c r="P150" i="11" s="1"/>
  <c r="Y150" i="11" s="1"/>
  <c r="O201" i="11"/>
  <c r="P201" i="11" s="1"/>
  <c r="Y201" i="11" s="1"/>
  <c r="N96" i="11"/>
  <c r="O96" i="11" s="1"/>
  <c r="P96" i="11" s="1"/>
  <c r="Y96" i="11" s="1"/>
  <c r="N145" i="11"/>
  <c r="O145" i="11" s="1"/>
  <c r="P145" i="11" s="1"/>
  <c r="Y145" i="11" s="1"/>
  <c r="O4" i="11"/>
  <c r="P4" i="11" s="1"/>
  <c r="Y4" i="11" s="1"/>
  <c r="N119" i="11"/>
  <c r="O119" i="11" s="1"/>
  <c r="P119" i="11" s="1"/>
  <c r="Y119" i="11" s="1"/>
  <c r="O59" i="11"/>
  <c r="P59" i="11" s="1"/>
  <c r="Y59" i="11" s="1"/>
  <c r="O130" i="11"/>
  <c r="P130" i="11" s="1"/>
  <c r="Y130" i="11" s="1"/>
  <c r="N20" i="11"/>
  <c r="O20" i="11" s="1"/>
  <c r="P20" i="11" s="1"/>
  <c r="Y20" i="11" s="1"/>
  <c r="O35" i="11"/>
  <c r="P35" i="11" s="1"/>
  <c r="Y35" i="11" s="1"/>
  <c r="N200" i="11"/>
  <c r="O200" i="11" s="1"/>
  <c r="P200" i="11" s="1"/>
  <c r="Y200" i="11" s="1"/>
  <c r="N129" i="11"/>
  <c r="O129" i="11" s="1"/>
  <c r="P129" i="11" s="1"/>
  <c r="Y129" i="11" s="1"/>
  <c r="O105" i="11"/>
  <c r="P105" i="11" s="1"/>
  <c r="Y105" i="11" s="1"/>
  <c r="N69" i="11"/>
  <c r="O69" i="11" s="1"/>
  <c r="P69" i="11" s="1"/>
  <c r="Y69" i="11" s="1"/>
  <c r="N43" i="11"/>
  <c r="O43" i="11" s="1"/>
  <c r="P43" i="11" s="1"/>
  <c r="Y43" i="11" s="1"/>
  <c r="N81" i="11"/>
  <c r="O81" i="11" s="1"/>
  <c r="P81" i="11" s="1"/>
  <c r="Y81" i="11" s="1"/>
  <c r="N149" i="11"/>
  <c r="O149" i="11" s="1"/>
  <c r="P149" i="11" s="1"/>
  <c r="Y149" i="11" s="1"/>
  <c r="N190" i="11"/>
  <c r="O190" i="11" s="1"/>
  <c r="P190" i="11" s="1"/>
  <c r="Y190" i="11" s="1"/>
  <c r="N137" i="11"/>
  <c r="O137" i="11" s="1"/>
  <c r="P137" i="11" s="1"/>
  <c r="Y137" i="11" s="1"/>
  <c r="N31" i="11"/>
  <c r="O31" i="11" s="1"/>
  <c r="P31" i="11" s="1"/>
  <c r="Y31" i="11" s="1"/>
  <c r="N5" i="11"/>
  <c r="O5" i="11" s="1"/>
  <c r="P5" i="11" s="1"/>
  <c r="Y5" i="11" s="1"/>
  <c r="N73" i="11"/>
  <c r="O73" i="11" s="1"/>
  <c r="P73" i="11" s="1"/>
  <c r="Y73" i="11" s="1"/>
  <c r="O83" i="11"/>
  <c r="P83" i="11" s="1"/>
  <c r="Y83" i="11" s="1"/>
  <c r="N106" i="11"/>
  <c r="O106" i="11" s="1"/>
  <c r="P106" i="11" s="1"/>
  <c r="Y106" i="11" s="1"/>
  <c r="N55" i="11"/>
  <c r="O55" i="11" s="1"/>
  <c r="P55" i="11" s="1"/>
  <c r="Y55" i="11" s="1"/>
  <c r="N12" i="11"/>
  <c r="O12" i="11" s="1"/>
  <c r="P12" i="11" s="1"/>
  <c r="Y12" i="11" s="1"/>
  <c r="N18" i="11"/>
  <c r="O18" i="11" s="1"/>
  <c r="P18" i="11" s="1"/>
  <c r="Y18" i="11" s="1"/>
  <c r="O23" i="11"/>
  <c r="P23" i="11" s="1"/>
  <c r="Y23" i="11" s="1"/>
  <c r="N38" i="11"/>
  <c r="O38" i="11" s="1"/>
  <c r="P38" i="11" s="1"/>
  <c r="Y38" i="11" s="1"/>
  <c r="O60" i="11"/>
  <c r="P60" i="11" s="1"/>
  <c r="Y60" i="11" s="1"/>
  <c r="O92" i="11"/>
  <c r="P92" i="11" s="1"/>
  <c r="Y92" i="11" s="1"/>
  <c r="N118" i="11"/>
  <c r="O118" i="11" s="1"/>
  <c r="P118" i="11" s="1"/>
  <c r="Y118" i="11" s="1"/>
  <c r="N175" i="11"/>
  <c r="O175" i="11" s="1"/>
  <c r="P175" i="11" s="1"/>
  <c r="Y175" i="11" s="1"/>
  <c r="N168" i="11"/>
  <c r="O168" i="11" s="1"/>
  <c r="P168" i="11" s="1"/>
  <c r="Y168" i="11" s="1"/>
  <c r="N25" i="11"/>
  <c r="O25" i="11" s="1"/>
  <c r="P25" i="11" s="1"/>
  <c r="Y25" i="11" s="1"/>
  <c r="N16" i="11"/>
  <c r="O16" i="11" s="1"/>
  <c r="P16" i="11" s="1"/>
  <c r="Y16" i="11" s="1"/>
  <c r="N2" i="11"/>
  <c r="O2" i="11" s="1"/>
  <c r="P2" i="11" s="1"/>
  <c r="O28" i="11"/>
  <c r="P28" i="11" s="1"/>
  <c r="Y28" i="11" s="1"/>
  <c r="N36" i="11"/>
  <c r="O36" i="11" s="1"/>
  <c r="P36" i="11" s="1"/>
  <c r="Y36" i="11" s="1"/>
  <c r="O109" i="11"/>
  <c r="P109" i="11" s="1"/>
  <c r="Y109" i="11" s="1"/>
  <c r="N123" i="11"/>
  <c r="O123" i="11" s="1"/>
  <c r="P123" i="11" s="1"/>
  <c r="Y123" i="11" s="1"/>
  <c r="N29" i="11"/>
  <c r="O29" i="11" s="1"/>
  <c r="P29" i="11" s="1"/>
  <c r="Y29" i="11" s="1"/>
  <c r="N27" i="11"/>
  <c r="O27" i="11" s="1"/>
  <c r="P27" i="11" s="1"/>
  <c r="Y27" i="11" s="1"/>
  <c r="N62" i="11"/>
  <c r="O62" i="11" s="1"/>
  <c r="P62" i="11" s="1"/>
  <c r="Y62" i="11" s="1"/>
  <c r="N67" i="11"/>
  <c r="O67" i="11" s="1"/>
  <c r="P67" i="11" s="1"/>
  <c r="Y67" i="11" s="1"/>
  <c r="N85" i="11"/>
  <c r="O85" i="11" s="1"/>
  <c r="P85" i="11" s="1"/>
  <c r="Y85" i="11" s="1"/>
  <c r="N93" i="11"/>
  <c r="O93" i="11" s="1"/>
  <c r="P93" i="11" s="1"/>
  <c r="Y93" i="11" s="1"/>
  <c r="N178" i="11"/>
  <c r="O178" i="11" s="1"/>
  <c r="P178" i="11" s="1"/>
  <c r="Y178" i="11" s="1"/>
  <c r="N122" i="11"/>
  <c r="O122" i="11" s="1"/>
  <c r="P122" i="11" s="1"/>
  <c r="Y122" i="11" s="1"/>
  <c r="N132" i="11"/>
  <c r="O132" i="11" s="1"/>
  <c r="P132" i="11" s="1"/>
  <c r="Y132" i="11" s="1"/>
  <c r="N139" i="11"/>
  <c r="O139" i="11" s="1"/>
  <c r="P139" i="11" s="1"/>
  <c r="Y139" i="11" s="1"/>
  <c r="N144" i="11"/>
  <c r="O144" i="11" s="1"/>
  <c r="P144" i="11" s="1"/>
  <c r="Y144" i="11" s="1"/>
  <c r="N158" i="11"/>
  <c r="O158" i="11" s="1"/>
  <c r="P158" i="11" s="1"/>
  <c r="Y158" i="11" s="1"/>
  <c r="N169" i="11"/>
  <c r="O169" i="11" s="1"/>
  <c r="P169" i="11" s="1"/>
  <c r="Y169" i="11" s="1"/>
  <c r="N176" i="11"/>
  <c r="O176" i="11" s="1"/>
  <c r="P176" i="11" s="1"/>
  <c r="Y176" i="11" s="1"/>
  <c r="N188" i="11"/>
  <c r="O188" i="11" s="1"/>
  <c r="P188" i="11" s="1"/>
  <c r="Y188" i="11" s="1"/>
  <c r="N108" i="11"/>
  <c r="O108" i="11" s="1"/>
  <c r="P108" i="11" s="1"/>
  <c r="Y108" i="11" s="1"/>
  <c r="N151" i="11"/>
  <c r="O151" i="11" s="1"/>
  <c r="P151" i="11" s="1"/>
  <c r="Y151" i="11" s="1"/>
  <c r="N163" i="11"/>
  <c r="O163" i="11" s="1"/>
  <c r="P163" i="11" s="1"/>
  <c r="Y163" i="11" s="1"/>
  <c r="N112" i="11"/>
  <c r="O112" i="11" s="1"/>
  <c r="P112" i="11" s="1"/>
  <c r="Y112" i="11" s="1"/>
  <c r="N183" i="11"/>
  <c r="O183" i="11" s="1"/>
  <c r="P183" i="11" s="1"/>
  <c r="Y183" i="11" s="1"/>
  <c r="N194" i="11"/>
  <c r="O194" i="11" s="1"/>
  <c r="P194" i="11" s="1"/>
  <c r="Y194" i="11" s="1"/>
  <c r="N202" i="11"/>
  <c r="O202" i="11" s="1"/>
  <c r="P202" i="11" s="1"/>
  <c r="Y202" i="11" s="1"/>
  <c r="N63" i="11"/>
  <c r="O63" i="11" s="1"/>
  <c r="P63" i="11" s="1"/>
  <c r="Y63" i="11" s="1"/>
  <c r="C7" i="6"/>
  <c r="E91" i="9"/>
  <c r="P210" i="11" l="1"/>
  <c r="Y2" i="11"/>
  <c r="Y210" i="11" s="1"/>
  <c r="C11" i="6"/>
  <c r="C14" i="6"/>
  <c r="P2" i="9"/>
  <c r="C6" i="12"/>
  <c r="Z2" i="9"/>
  <c r="E4" i="12"/>
  <c r="F4" i="12" s="1"/>
  <c r="G4" i="12" s="1"/>
  <c r="E3" i="12"/>
  <c r="F3" i="12" s="1"/>
  <c r="E7" i="12"/>
  <c r="F7" i="12" s="1"/>
  <c r="G5" i="12"/>
  <c r="E2" i="12"/>
  <c r="S2" i="9"/>
  <c r="X2" i="9"/>
  <c r="J2" i="9"/>
  <c r="K2" i="9"/>
  <c r="T2" i="9"/>
  <c r="O2" i="9"/>
  <c r="D2" i="9"/>
  <c r="H2" i="9"/>
  <c r="R2" i="9"/>
  <c r="F2" i="9"/>
  <c r="I2" i="9"/>
  <c r="W2" i="9"/>
  <c r="Y2" i="9"/>
  <c r="N2" i="9"/>
  <c r="L2" i="9"/>
  <c r="G2" i="9"/>
  <c r="U2" i="9"/>
  <c r="M2" i="9"/>
  <c r="Q2" i="9"/>
  <c r="C2" i="9"/>
  <c r="H91" i="9"/>
  <c r="B91" i="9"/>
  <c r="T91" i="9"/>
  <c r="N91" i="9"/>
  <c r="D91" i="9"/>
  <c r="P91" i="9"/>
  <c r="O91" i="9"/>
  <c r="Z91" i="9"/>
  <c r="Y91" i="9"/>
  <c r="L91" i="9"/>
  <c r="G91" i="9"/>
  <c r="S91" i="9"/>
  <c r="R91" i="9"/>
  <c r="U91" i="9"/>
  <c r="X91" i="9"/>
  <c r="F91" i="9"/>
  <c r="M91" i="9"/>
  <c r="J91" i="9"/>
  <c r="I91" i="9"/>
  <c r="Q91" i="9"/>
  <c r="K91" i="9"/>
  <c r="W91" i="9"/>
  <c r="C91" i="9"/>
  <c r="C7" i="12" l="1"/>
  <c r="C4" i="12"/>
  <c r="C3" i="12"/>
  <c r="C2" i="12"/>
  <c r="C5" i="12"/>
  <c r="V2" i="9"/>
  <c r="G7" i="12"/>
  <c r="G3" i="12"/>
  <c r="F2" i="12"/>
  <c r="G2" i="12" s="1"/>
  <c r="V91" i="9"/>
  <c r="H2" i="12" l="1"/>
  <c r="I2" i="12" s="1"/>
  <c r="A91" i="9"/>
  <c r="AA10" i="6"/>
  <c r="Z10" i="6"/>
  <c r="Y10" i="6"/>
  <c r="X10" i="6"/>
  <c r="W10" i="6"/>
  <c r="V10" i="6"/>
  <c r="U10" i="6"/>
  <c r="T10" i="6"/>
  <c r="P10" i="6"/>
  <c r="O10" i="6"/>
  <c r="N10" i="6"/>
  <c r="M10" i="6"/>
  <c r="L10" i="6"/>
  <c r="J10" i="6"/>
  <c r="I10" i="6"/>
  <c r="H10" i="6"/>
  <c r="G10" i="6"/>
  <c r="F10" i="6"/>
  <c r="E10" i="6"/>
  <c r="D10" i="6"/>
  <c r="D14" i="6" l="1"/>
  <c r="E14" i="6" s="1"/>
  <c r="K10" i="6"/>
  <c r="H128" i="2" l="1"/>
  <c r="H124" i="2"/>
  <c r="H108" i="2"/>
  <c r="H53" i="2"/>
  <c r="H41" i="2"/>
  <c r="H36" i="2"/>
  <c r="H20" i="2"/>
  <c r="H10" i="2"/>
  <c r="BM2" i="2"/>
  <c r="H49" i="2" l="1"/>
  <c r="H112" i="2"/>
  <c r="H9" i="2"/>
  <c r="H4" i="2"/>
  <c r="H13" i="2"/>
  <c r="H40" i="2"/>
  <c r="H120" i="2"/>
  <c r="H29" i="2"/>
  <c r="H33" i="2"/>
  <c r="H45" i="2"/>
  <c r="H17" i="2"/>
  <c r="H25" i="2"/>
  <c r="H63" i="2"/>
  <c r="H71" i="2"/>
  <c r="H80" i="2"/>
  <c r="H88" i="2"/>
  <c r="H96" i="2"/>
  <c r="H104" i="2"/>
  <c r="H129" i="2"/>
  <c r="H5" i="2"/>
  <c r="H125" i="2"/>
  <c r="H21" i="2"/>
  <c r="H37" i="2"/>
  <c r="H44" i="2"/>
  <c r="H57" i="2"/>
  <c r="H67" i="2"/>
  <c r="H75" i="2"/>
  <c r="H84" i="2"/>
  <c r="H92" i="2"/>
  <c r="H100" i="2"/>
  <c r="H116" i="2"/>
  <c r="H52" i="2"/>
  <c r="H121" i="2"/>
  <c r="H43" i="2"/>
  <c r="H48" i="2"/>
  <c r="H19" i="2"/>
  <c r="H8" i="2"/>
  <c r="H32" i="2"/>
  <c r="H15" i="2"/>
  <c r="H12" i="2"/>
  <c r="H55" i="2"/>
  <c r="H28" i="2"/>
  <c r="H24" i="2"/>
  <c r="H16" i="2"/>
  <c r="H23" i="2"/>
  <c r="H35" i="2"/>
  <c r="H127" i="2"/>
  <c r="H7" i="2"/>
  <c r="H11" i="2"/>
  <c r="H3" i="2"/>
  <c r="H39" i="2"/>
  <c r="H51" i="2"/>
  <c r="H56" i="2"/>
  <c r="H66" i="2"/>
  <c r="H74" i="2"/>
  <c r="H83" i="2"/>
  <c r="H91" i="2"/>
  <c r="H99" i="2"/>
  <c r="H107" i="2"/>
  <c r="H115" i="2"/>
  <c r="H123" i="2"/>
  <c r="H31" i="2"/>
  <c r="H27" i="2"/>
  <c r="H47" i="2"/>
  <c r="H62" i="2"/>
  <c r="H70" i="2"/>
  <c r="H79" i="2"/>
  <c r="H87" i="2"/>
  <c r="H95" i="2"/>
  <c r="H103" i="2"/>
  <c r="H111" i="2"/>
  <c r="H119" i="2"/>
  <c r="H60" i="2"/>
  <c r="H65" i="2"/>
  <c r="H69" i="2"/>
  <c r="H73" i="2"/>
  <c r="H77" i="2"/>
  <c r="H82" i="2"/>
  <c r="H86" i="2"/>
  <c r="H90" i="2"/>
  <c r="H94" i="2"/>
  <c r="H98" i="2"/>
  <c r="H102" i="2"/>
  <c r="H106" i="2"/>
  <c r="H110" i="2"/>
  <c r="H114" i="2"/>
  <c r="H118" i="2"/>
  <c r="H122" i="2"/>
  <c r="H126" i="2"/>
  <c r="H130" i="2"/>
  <c r="H6" i="2"/>
  <c r="H14" i="2"/>
  <c r="H18" i="2"/>
  <c r="H22" i="2"/>
  <c r="H26" i="2"/>
  <c r="H30" i="2"/>
  <c r="H34" i="2"/>
  <c r="H38" i="2"/>
  <c r="H42" i="2"/>
  <c r="H46" i="2"/>
  <c r="H50" i="2"/>
  <c r="H54" i="2"/>
  <c r="H58" i="2"/>
  <c r="H64" i="2"/>
  <c r="H68" i="2"/>
  <c r="H72" i="2"/>
  <c r="H76" i="2"/>
  <c r="H81" i="2"/>
  <c r="H85" i="2"/>
  <c r="H89" i="2"/>
  <c r="H93" i="2"/>
  <c r="H97" i="2"/>
  <c r="H101" i="2"/>
  <c r="H105" i="2"/>
  <c r="H109" i="2"/>
  <c r="H113" i="2"/>
  <c r="H117" i="2"/>
  <c r="BM131" i="2" l="1"/>
  <c r="H2" i="2" l="1"/>
  <c r="AM2" i="2" l="1"/>
  <c r="BL2" i="2"/>
  <c r="BL131" i="2" s="1"/>
  <c r="E9" i="12"/>
  <c r="BG2" i="2"/>
  <c r="AY2" i="2"/>
  <c r="AQ2" i="2"/>
  <c r="BE2" i="2"/>
  <c r="AW2" i="2"/>
  <c r="AO2" i="2"/>
  <c r="AZ2" i="2"/>
  <c r="AN2" i="2"/>
  <c r="BI2" i="2"/>
  <c r="AX2" i="2"/>
  <c r="BH2" i="2"/>
  <c r="AV2" i="2"/>
  <c r="AL2" i="2"/>
  <c r="BF2" i="2"/>
  <c r="AU2" i="2"/>
  <c r="BD2" i="2"/>
  <c r="AT2" i="2"/>
  <c r="BC2" i="2"/>
  <c r="AS2" i="2"/>
  <c r="BB2" i="2"/>
  <c r="BA2" i="2"/>
  <c r="AP2" i="2"/>
  <c r="AR2" i="2"/>
  <c r="AK2" i="2"/>
  <c r="F9" i="12" l="1"/>
  <c r="G8" i="12"/>
  <c r="G9" i="12" s="1"/>
  <c r="BF131" i="2" l="1"/>
  <c r="AK131" i="2"/>
  <c r="BC131" i="2"/>
  <c r="AL131" i="2"/>
  <c r="AM131" i="2"/>
  <c r="BE131" i="2"/>
  <c r="BG131" i="2"/>
  <c r="AZ131" i="2"/>
  <c r="AU131" i="2"/>
  <c r="BI131" i="2"/>
  <c r="AP131" i="2"/>
  <c r="AS131" i="2"/>
  <c r="BA131" i="2"/>
  <c r="AN131" i="2"/>
  <c r="AX131" i="2"/>
  <c r="AQ131" i="2"/>
  <c r="AV131" i="2"/>
  <c r="AY131" i="2"/>
  <c r="BB131" i="2"/>
  <c r="BD131" i="2"/>
  <c r="AT131" i="2"/>
  <c r="AR131" i="2"/>
  <c r="AO131" i="2"/>
  <c r="BH131" i="2"/>
  <c r="AW131" i="2"/>
  <c r="BI132" i="2" l="1"/>
  <c r="D9" i="12" l="1"/>
  <c r="H8" i="12"/>
  <c r="H9" i="12" l="1"/>
  <c r="G10" i="12" l="1"/>
</calcChain>
</file>

<file path=xl/comments1.xml><?xml version="1.0" encoding="utf-8"?>
<comments xmlns="http://schemas.openxmlformats.org/spreadsheetml/2006/main">
  <authors>
    <author>Danna Salomé Martínez Ramírez</author>
    <author>Danna</author>
  </authors>
  <commentList>
    <comment ref="J7" authorId="0" shapeId="0">
      <text>
        <r>
          <rPr>
            <b/>
            <sz val="9"/>
            <color indexed="81"/>
            <rFont val="Tahoma"/>
            <charset val="1"/>
          </rPr>
          <t>Danna Salomé Martínez Ramírez:</t>
        </r>
        <r>
          <rPr>
            <sz val="9"/>
            <color indexed="81"/>
            <rFont val="Tahoma"/>
            <charset val="1"/>
          </rPr>
          <t xml:space="preserve">
retiro
</t>
        </r>
      </text>
    </comment>
    <comment ref="R7" authorId="0" shapeId="0">
      <text>
        <r>
          <rPr>
            <b/>
            <sz val="9"/>
            <color indexed="81"/>
            <rFont val="Tahoma"/>
            <family val="2"/>
          </rPr>
          <t>Danna Salomé Martínez Ramírez:</t>
        </r>
        <r>
          <rPr>
            <sz val="9"/>
            <color indexed="81"/>
            <rFont val="Tahoma"/>
            <family val="2"/>
          </rPr>
          <t xml:space="preserve">
RETIRO. SOLO 11 DIAS</t>
        </r>
      </text>
    </comment>
    <comment ref="J8" authorId="0" shapeId="0">
      <text>
        <r>
          <rPr>
            <b/>
            <sz val="9"/>
            <color indexed="81"/>
            <rFont val="Tahoma"/>
            <charset val="1"/>
          </rPr>
          <t>Danna Salomé Martínez Ramírez:</t>
        </r>
        <r>
          <rPr>
            <sz val="9"/>
            <color indexed="81"/>
            <rFont val="Tahoma"/>
            <charset val="1"/>
          </rPr>
          <t xml:space="preserve">
INGRESO</t>
        </r>
      </text>
    </comment>
    <comment ref="R8" authorId="0" shapeId="0">
      <text>
        <r>
          <rPr>
            <b/>
            <sz val="9"/>
            <color indexed="81"/>
            <rFont val="Tahoma"/>
            <family val="2"/>
          </rPr>
          <t>Danna Salomé Martínez Ramírez:</t>
        </r>
        <r>
          <rPr>
            <sz val="9"/>
            <color indexed="81"/>
            <rFont val="Tahoma"/>
            <family val="2"/>
          </rPr>
          <t xml:space="preserve">
SOLO 13 DIAS. DICE INGRESO</t>
        </r>
      </text>
    </comment>
    <comment ref="J10" authorId="0" shapeId="0">
      <text>
        <r>
          <rPr>
            <b/>
            <sz val="9"/>
            <color indexed="81"/>
            <rFont val="Tahoma"/>
            <charset val="1"/>
          </rPr>
          <t>Danna Salomé Martínez Ramírez:</t>
        </r>
        <r>
          <rPr>
            <sz val="9"/>
            <color indexed="81"/>
            <rFont val="Tahoma"/>
            <charset val="1"/>
          </rPr>
          <t xml:space="preserve">
ingreso
</t>
        </r>
      </text>
    </comment>
    <comment ref="R16" authorId="0" shapeId="0">
      <text>
        <r>
          <rPr>
            <b/>
            <sz val="9"/>
            <color indexed="81"/>
            <rFont val="Tahoma"/>
            <family val="2"/>
          </rPr>
          <t>Danna Salomé Martínez Ramírez:</t>
        </r>
        <r>
          <rPr>
            <sz val="9"/>
            <color indexed="81"/>
            <rFont val="Tahoma"/>
            <family val="2"/>
          </rPr>
          <t xml:space="preserve">
28 DIAS OK + 2 DIAS EN SLN</t>
        </r>
      </text>
    </comment>
    <comment ref="R18" authorId="0" shapeId="0">
      <text>
        <r>
          <rPr>
            <b/>
            <sz val="9"/>
            <color indexed="81"/>
            <rFont val="Tahoma"/>
            <family val="2"/>
          </rPr>
          <t>Danna Salomé Martínez Ramírez:</t>
        </r>
        <r>
          <rPr>
            <sz val="9"/>
            <color indexed="81"/>
            <rFont val="Tahoma"/>
            <family val="2"/>
          </rPr>
          <t xml:space="preserve">
29 DIAS OK + 1 DIA EN IGE</t>
        </r>
      </text>
    </comment>
    <comment ref="J38" authorId="1" shapeId="0">
      <text>
        <r>
          <rPr>
            <b/>
            <sz val="9"/>
            <color indexed="81"/>
            <rFont val="Tahoma"/>
            <charset val="1"/>
          </rPr>
          <t>Danna:</t>
        </r>
        <r>
          <rPr>
            <sz val="9"/>
            <color indexed="81"/>
            <rFont val="Tahoma"/>
            <charset val="1"/>
          </rPr>
          <t xml:space="preserve">
retiro</t>
        </r>
      </text>
    </comment>
    <comment ref="R38" authorId="0" shapeId="0">
      <text>
        <r>
          <rPr>
            <b/>
            <sz val="9"/>
            <color indexed="81"/>
            <rFont val="Tahoma"/>
            <charset val="1"/>
          </rPr>
          <t>Danna Salomé Martínez Ramírez:</t>
        </r>
        <r>
          <rPr>
            <sz val="9"/>
            <color indexed="81"/>
            <rFont val="Tahoma"/>
            <charset val="1"/>
          </rPr>
          <t xml:space="preserve">
23 dias ok + 2 dias en SLN + 2 dias en SLN + 1 dia en SLN + 1 dia en SLN + 1 dia en SLN</t>
        </r>
      </text>
    </comment>
    <comment ref="R41" authorId="0" shapeId="0">
      <text>
        <r>
          <rPr>
            <b/>
            <sz val="9"/>
            <color indexed="81"/>
            <rFont val="Tahoma"/>
            <family val="2"/>
          </rPr>
          <t>Danna Salomé Martínez Ramírez:</t>
        </r>
        <r>
          <rPr>
            <sz val="9"/>
            <color indexed="81"/>
            <rFont val="Tahoma"/>
            <family val="2"/>
          </rPr>
          <t xml:space="preserve">
23 DIAS OK + 4 DIAS EN SLN + 3 DIAS EN VAC (L)</t>
        </r>
      </text>
    </comment>
    <comment ref="R42" authorId="0" shapeId="0">
      <text>
        <r>
          <rPr>
            <b/>
            <sz val="9"/>
            <color indexed="81"/>
            <rFont val="Tahoma"/>
            <charset val="1"/>
          </rPr>
          <t>Danna Salomé Martínez Ramírez:</t>
        </r>
        <r>
          <rPr>
            <sz val="9"/>
            <color indexed="81"/>
            <rFont val="Tahoma"/>
            <charset val="1"/>
          </rPr>
          <t xml:space="preserve">
20 dias ok + 4 dias VAC (L) + 3 dias VAC (L) + 3 dias en SLN</t>
        </r>
      </text>
    </comment>
    <comment ref="J50" authorId="0" shapeId="0">
      <text>
        <r>
          <rPr>
            <b/>
            <sz val="9"/>
            <color indexed="81"/>
            <rFont val="Tahoma"/>
            <charset val="1"/>
          </rPr>
          <t>Danna Salomé Martínez Ramírez:</t>
        </r>
        <r>
          <rPr>
            <sz val="9"/>
            <color indexed="81"/>
            <rFont val="Tahoma"/>
            <charset val="1"/>
          </rPr>
          <t xml:space="preserve">
INGRESO
</t>
        </r>
      </text>
    </comment>
    <comment ref="R50" authorId="0" shapeId="0">
      <text>
        <r>
          <rPr>
            <b/>
            <sz val="9"/>
            <color indexed="81"/>
            <rFont val="Tahoma"/>
            <family val="2"/>
          </rPr>
          <t>Danna Salomé Martínez Ramírez:</t>
        </r>
        <r>
          <rPr>
            <sz val="9"/>
            <color indexed="81"/>
            <rFont val="Tahoma"/>
            <family val="2"/>
          </rPr>
          <t xml:space="preserve">
DICE INGRESO PERO SE SUPONE QUE ES OPERARIO AUXILIAR Y LE COTIZARON SOLO 1.300.000 CUANDO LAS DEMAS AUXILIARES ESTAN EN 1.356.000</t>
        </r>
      </text>
    </comment>
    <comment ref="J51" authorId="0" shapeId="0">
      <text>
        <r>
          <rPr>
            <b/>
            <sz val="9"/>
            <color indexed="81"/>
            <rFont val="Tahoma"/>
            <charset val="1"/>
          </rPr>
          <t>Danna Salomé Martínez Ramírez:</t>
        </r>
        <r>
          <rPr>
            <sz val="9"/>
            <color indexed="81"/>
            <rFont val="Tahoma"/>
            <charset val="1"/>
          </rPr>
          <t xml:space="preserve">
INGRESO
</t>
        </r>
      </text>
    </comment>
    <comment ref="R51" authorId="0" shapeId="0">
      <text>
        <r>
          <rPr>
            <b/>
            <sz val="9"/>
            <color indexed="81"/>
            <rFont val="Tahoma"/>
            <family val="2"/>
          </rPr>
          <t>Danna Salomé Martínez Ramírez:</t>
        </r>
        <r>
          <rPr>
            <sz val="9"/>
            <color indexed="81"/>
            <rFont val="Tahoma"/>
            <family val="2"/>
          </rPr>
          <t xml:space="preserve">
solo 18 dias. Dice ingreso</t>
        </r>
      </text>
    </comment>
    <comment ref="R62" authorId="0" shapeId="0">
      <text>
        <r>
          <rPr>
            <b/>
            <sz val="9"/>
            <color indexed="81"/>
            <rFont val="Tahoma"/>
            <family val="2"/>
          </rPr>
          <t>Danna Salomé Martínez Ramírez:</t>
        </r>
        <r>
          <rPr>
            <sz val="9"/>
            <color indexed="81"/>
            <rFont val="Tahoma"/>
            <family val="2"/>
          </rPr>
          <t xml:space="preserve">
29 DIAS OK + 1 DIA EN IGE</t>
        </r>
      </text>
    </comment>
    <comment ref="R64" authorId="0" shapeId="0">
      <text>
        <r>
          <rPr>
            <b/>
            <sz val="9"/>
            <color indexed="81"/>
            <rFont val="Tahoma"/>
            <family val="2"/>
          </rPr>
          <t>Danna Salomé Martínez Ramírez:</t>
        </r>
        <r>
          <rPr>
            <sz val="9"/>
            <color indexed="81"/>
            <rFont val="Tahoma"/>
            <family val="2"/>
          </rPr>
          <t xml:space="preserve">
26 DIAS OK + 2 DIAS EN VAC (L) + 2 DIAS EN IGE </t>
        </r>
      </text>
    </comment>
    <comment ref="R65" authorId="0" shapeId="0">
      <text>
        <r>
          <rPr>
            <b/>
            <sz val="9"/>
            <color indexed="81"/>
            <rFont val="Tahoma"/>
            <charset val="1"/>
          </rPr>
          <t>Danna Salomé Martínez Ramírez:</t>
        </r>
        <r>
          <rPr>
            <sz val="9"/>
            <color indexed="81"/>
            <rFont val="Tahoma"/>
            <charset val="1"/>
          </rPr>
          <t xml:space="preserve">
28 dias ok + 2 dias en IGE</t>
        </r>
      </text>
    </comment>
    <comment ref="R68" authorId="0" shapeId="0">
      <text>
        <r>
          <rPr>
            <b/>
            <sz val="9"/>
            <color indexed="81"/>
            <rFont val="Tahoma"/>
            <charset val="1"/>
          </rPr>
          <t>Danna Salomé Martínez Ramírez:</t>
        </r>
        <r>
          <rPr>
            <sz val="9"/>
            <color indexed="81"/>
            <rFont val="Tahoma"/>
            <charset val="1"/>
          </rPr>
          <t xml:space="preserve">
27 dias ok + 2 dias en SLN + 1 dia en SLN</t>
        </r>
      </text>
    </comment>
    <comment ref="R72" authorId="0" shapeId="0">
      <text>
        <r>
          <rPr>
            <b/>
            <sz val="9"/>
            <color indexed="81"/>
            <rFont val="Tahoma"/>
            <family val="2"/>
          </rPr>
          <t>Danna Salomé Martínez Ramírez:</t>
        </r>
        <r>
          <rPr>
            <sz val="9"/>
            <color indexed="81"/>
            <rFont val="Tahoma"/>
            <family val="2"/>
          </rPr>
          <t xml:space="preserve">
29 DIAS OK + 1 DIA EN VAC (L)</t>
        </r>
      </text>
    </comment>
    <comment ref="R75" authorId="0" shapeId="0">
      <text>
        <r>
          <rPr>
            <b/>
            <sz val="9"/>
            <color indexed="81"/>
            <rFont val="Tahoma"/>
            <family val="2"/>
          </rPr>
          <t>Danna Salomé Martínez Ramírez:</t>
        </r>
        <r>
          <rPr>
            <sz val="9"/>
            <color indexed="81"/>
            <rFont val="Tahoma"/>
            <family val="2"/>
          </rPr>
          <t xml:space="preserve">
30 DIAS EN VST</t>
        </r>
      </text>
    </comment>
    <comment ref="R80" authorId="0" shapeId="0">
      <text>
        <r>
          <rPr>
            <b/>
            <sz val="9"/>
            <color indexed="81"/>
            <rFont val="Tahoma"/>
            <family val="2"/>
          </rPr>
          <t>Danna Salomé Martínez Ramírez:</t>
        </r>
        <r>
          <rPr>
            <sz val="9"/>
            <color indexed="81"/>
            <rFont val="Tahoma"/>
            <family val="2"/>
          </rPr>
          <t xml:space="preserve">
28 DIAS OK + 2 DIAS EN IGE</t>
        </r>
      </text>
    </comment>
    <comment ref="R83" authorId="0" shapeId="0">
      <text>
        <r>
          <rPr>
            <b/>
            <sz val="9"/>
            <color indexed="81"/>
            <rFont val="Tahoma"/>
            <family val="2"/>
          </rPr>
          <t>Danna Salomé Martínez Ramírez:</t>
        </r>
        <r>
          <rPr>
            <sz val="9"/>
            <color indexed="81"/>
            <rFont val="Tahoma"/>
            <family val="2"/>
          </rPr>
          <t xml:space="preserve">
28 DIAS OK + 2 DIAS EN SLN</t>
        </r>
      </text>
    </comment>
    <comment ref="R87" authorId="0" shapeId="0">
      <text>
        <r>
          <rPr>
            <b/>
            <sz val="9"/>
            <color indexed="81"/>
            <rFont val="Tahoma"/>
            <family val="2"/>
          </rPr>
          <t>Danna Salomé Martínez Ramírez:</t>
        </r>
        <r>
          <rPr>
            <sz val="9"/>
            <color indexed="81"/>
            <rFont val="Tahoma"/>
            <family val="2"/>
          </rPr>
          <t xml:space="preserve">
27 DIAS OK + 2 DIAS EN SLN + 1 DIA EN SLN</t>
        </r>
      </text>
    </comment>
    <comment ref="J96" authorId="1" shapeId="0">
      <text>
        <r>
          <rPr>
            <b/>
            <sz val="9"/>
            <color indexed="81"/>
            <rFont val="Tahoma"/>
            <charset val="1"/>
          </rPr>
          <t>Danna:</t>
        </r>
        <r>
          <rPr>
            <sz val="9"/>
            <color indexed="81"/>
            <rFont val="Tahoma"/>
            <charset val="1"/>
          </rPr>
          <t xml:space="preserve">
se supone que son 24 dias; pero estan cubriendo con una supernumeraria a un operario de mantenimiento cuando no se puede</t>
        </r>
      </text>
    </comment>
    <comment ref="J97" authorId="0" shapeId="0">
      <text>
        <r>
          <rPr>
            <b/>
            <sz val="9"/>
            <color indexed="81"/>
            <rFont val="Tahoma"/>
            <family val="2"/>
          </rPr>
          <t>Danna Salomé Martínez Ramírez:</t>
        </r>
        <r>
          <rPr>
            <sz val="9"/>
            <color indexed="81"/>
            <rFont val="Tahoma"/>
            <family val="2"/>
          </rPr>
          <t xml:space="preserve">
ingreso</t>
        </r>
      </text>
    </comment>
    <comment ref="R97" authorId="0" shapeId="0">
      <text>
        <r>
          <rPr>
            <b/>
            <sz val="9"/>
            <color indexed="81"/>
            <rFont val="Tahoma"/>
            <family val="2"/>
          </rPr>
          <t>Danna Salomé Martínez Ramírez:</t>
        </r>
        <r>
          <rPr>
            <sz val="9"/>
            <color indexed="81"/>
            <rFont val="Tahoma"/>
            <family val="2"/>
          </rPr>
          <t xml:space="preserve">
INGRESO. SOLO LE COTIZARON 6 DIAS</t>
        </r>
      </text>
    </comment>
    <comment ref="J103" authorId="0" shapeId="0">
      <text>
        <r>
          <rPr>
            <b/>
            <sz val="9"/>
            <color indexed="81"/>
            <rFont val="Tahoma"/>
            <family val="2"/>
          </rPr>
          <t>Danna Salomé Martínez Ramírez:</t>
        </r>
        <r>
          <rPr>
            <sz val="9"/>
            <color indexed="81"/>
            <rFont val="Tahoma"/>
            <family val="2"/>
          </rPr>
          <t xml:space="preserve">
ingreso</t>
        </r>
      </text>
    </comment>
    <comment ref="R103" authorId="0" shapeId="0">
      <text>
        <r>
          <rPr>
            <b/>
            <sz val="9"/>
            <color indexed="81"/>
            <rFont val="Tahoma"/>
            <charset val="1"/>
          </rPr>
          <t>Danna Salomé Martínez Ramírez:</t>
        </r>
        <r>
          <rPr>
            <sz val="9"/>
            <color indexed="81"/>
            <rFont val="Tahoma"/>
            <charset val="1"/>
          </rPr>
          <t xml:space="preserve">
Solo le cotizaron 13 dias, dice ingreso
</t>
        </r>
      </text>
    </comment>
    <comment ref="R107" authorId="0" shapeId="0">
      <text>
        <r>
          <rPr>
            <b/>
            <sz val="9"/>
            <color indexed="81"/>
            <rFont val="Tahoma"/>
            <family val="2"/>
          </rPr>
          <t>Danna Salomé Martínez Ramírez:</t>
        </r>
        <r>
          <rPr>
            <sz val="9"/>
            <color indexed="81"/>
            <rFont val="Tahoma"/>
            <family val="2"/>
          </rPr>
          <t xml:space="preserve">
29 DIAS OK + 1 DIA EN SLN</t>
        </r>
      </text>
    </comment>
    <comment ref="J111" authorId="1" shapeId="0">
      <text>
        <r>
          <rPr>
            <b/>
            <sz val="9"/>
            <color indexed="81"/>
            <rFont val="Tahoma"/>
            <charset val="1"/>
          </rPr>
          <t>Danna:</t>
        </r>
        <r>
          <rPr>
            <sz val="9"/>
            <color indexed="81"/>
            <rFont val="Tahoma"/>
            <charset val="1"/>
          </rPr>
          <t xml:space="preserve">
ingreso</t>
        </r>
      </text>
    </comment>
    <comment ref="R111" authorId="0" shapeId="0">
      <text>
        <r>
          <rPr>
            <b/>
            <sz val="9"/>
            <color indexed="81"/>
            <rFont val="Tahoma"/>
            <family val="2"/>
          </rPr>
          <t>Danna Salomé Martínez Ramírez:</t>
        </r>
        <r>
          <rPr>
            <sz val="9"/>
            <color indexed="81"/>
            <rFont val="Tahoma"/>
            <family val="2"/>
          </rPr>
          <t xml:space="preserve">
INGRESO</t>
        </r>
      </text>
    </comment>
    <comment ref="R113" authorId="0" shapeId="0">
      <text>
        <r>
          <rPr>
            <b/>
            <sz val="9"/>
            <color indexed="81"/>
            <rFont val="Tahoma"/>
            <family val="2"/>
          </rPr>
          <t>Danna Salomé Martínez Ramírez:</t>
        </r>
        <r>
          <rPr>
            <sz val="9"/>
            <color indexed="81"/>
            <rFont val="Tahoma"/>
            <family val="2"/>
          </rPr>
          <t xml:space="preserve">
28 DIAS OK + 2 DIAS EN IGE</t>
        </r>
      </text>
    </comment>
    <comment ref="R130" authorId="0" shapeId="0">
      <text>
        <r>
          <rPr>
            <b/>
            <sz val="9"/>
            <color indexed="81"/>
            <rFont val="Tahoma"/>
            <family val="2"/>
          </rPr>
          <t>Danna Salomé Martínez Ramírez:</t>
        </r>
        <r>
          <rPr>
            <sz val="9"/>
            <color indexed="81"/>
            <rFont val="Tahoma"/>
            <family val="2"/>
          </rPr>
          <t xml:space="preserve">
28 DIAS OK + 2 DIAS EN SLN</t>
        </r>
      </text>
    </comment>
    <comment ref="R135" authorId="0" shapeId="0">
      <text>
        <r>
          <rPr>
            <b/>
            <sz val="9"/>
            <color indexed="81"/>
            <rFont val="Tahoma"/>
            <family val="2"/>
          </rPr>
          <t>Danna Salomé Martínez Ramírez:</t>
        </r>
        <r>
          <rPr>
            <sz val="9"/>
            <color indexed="81"/>
            <rFont val="Tahoma"/>
            <family val="2"/>
          </rPr>
          <t xml:space="preserve">
30 DIAS EN VST</t>
        </r>
      </text>
    </comment>
    <comment ref="R141" authorId="0" shapeId="0">
      <text>
        <r>
          <rPr>
            <b/>
            <sz val="9"/>
            <color indexed="81"/>
            <rFont val="Tahoma"/>
            <family val="2"/>
          </rPr>
          <t>Danna Salomé Martínez Ramírez:</t>
        </r>
        <r>
          <rPr>
            <sz val="9"/>
            <color indexed="81"/>
            <rFont val="Tahoma"/>
            <family val="2"/>
          </rPr>
          <t xml:space="preserve">
28 DIAS OK + 2 DIAS EN IGE</t>
        </r>
      </text>
    </comment>
    <comment ref="R153" authorId="0" shapeId="0">
      <text>
        <r>
          <rPr>
            <b/>
            <sz val="9"/>
            <color indexed="81"/>
            <rFont val="Tahoma"/>
            <family val="2"/>
          </rPr>
          <t>Danna Salomé Martínez Ramírez:</t>
        </r>
        <r>
          <rPr>
            <sz val="9"/>
            <color indexed="81"/>
            <rFont val="Tahoma"/>
            <family val="2"/>
          </rPr>
          <t xml:space="preserve">
28 DIAS OK + 2 DIAS EN SLN</t>
        </r>
      </text>
    </comment>
    <comment ref="J154" authorId="1" shapeId="0">
      <text>
        <r>
          <rPr>
            <b/>
            <sz val="9"/>
            <color indexed="81"/>
            <rFont val="Tahoma"/>
            <charset val="1"/>
          </rPr>
          <t>Danna:</t>
        </r>
        <r>
          <rPr>
            <sz val="9"/>
            <color indexed="81"/>
            <rFont val="Tahoma"/>
            <charset val="1"/>
          </rPr>
          <t xml:space="preserve">
se supone que son 2 dias; pero no se paga hasta que no den respuesta a las observaciones</t>
        </r>
      </text>
    </comment>
    <comment ref="J156" authorId="0" shapeId="0">
      <text>
        <r>
          <rPr>
            <b/>
            <sz val="9"/>
            <color indexed="81"/>
            <rFont val="Tahoma"/>
            <charset val="1"/>
          </rPr>
          <t>Danna Salomé Martínez Ramírez:</t>
        </r>
        <r>
          <rPr>
            <sz val="9"/>
            <color indexed="81"/>
            <rFont val="Tahoma"/>
            <charset val="1"/>
          </rPr>
          <t xml:space="preserve">
INGRESO</t>
        </r>
      </text>
    </comment>
    <comment ref="R164" authorId="0" shapeId="0">
      <text>
        <r>
          <rPr>
            <b/>
            <sz val="9"/>
            <color indexed="81"/>
            <rFont val="Tahoma"/>
            <family val="2"/>
          </rPr>
          <t>Danna Salomé Martínez Ramírez:</t>
        </r>
        <r>
          <rPr>
            <sz val="9"/>
            <color indexed="81"/>
            <rFont val="Tahoma"/>
            <family val="2"/>
          </rPr>
          <t xml:space="preserve">
27 DIAS OK + 2 DIAS EN IGE + 1 DIA EN IGE</t>
        </r>
      </text>
    </comment>
    <comment ref="J165" authorId="1" shapeId="0">
      <text>
        <r>
          <rPr>
            <b/>
            <sz val="9"/>
            <color indexed="81"/>
            <rFont val="Tahoma"/>
            <charset val="1"/>
          </rPr>
          <t>Danna:</t>
        </r>
        <r>
          <rPr>
            <sz val="9"/>
            <color indexed="81"/>
            <rFont val="Tahoma"/>
            <charset val="1"/>
          </rPr>
          <t xml:space="preserve">
se supone que son 3 dias; pero no se paga hasta q no den respuesta a las observaciones</t>
        </r>
      </text>
    </comment>
    <comment ref="R170" authorId="0" shapeId="0">
      <text>
        <r>
          <rPr>
            <b/>
            <sz val="9"/>
            <color indexed="81"/>
            <rFont val="Tahoma"/>
            <family val="2"/>
          </rPr>
          <t>Danna Salomé Martínez Ramírez:</t>
        </r>
        <r>
          <rPr>
            <sz val="9"/>
            <color indexed="81"/>
            <rFont val="Tahoma"/>
            <family val="2"/>
          </rPr>
          <t xml:space="preserve">
28 DIAS OK + 2 DIAS EN IGE</t>
        </r>
      </text>
    </comment>
    <comment ref="R174" authorId="0" shapeId="0">
      <text>
        <r>
          <rPr>
            <b/>
            <sz val="9"/>
            <color indexed="81"/>
            <rFont val="Tahoma"/>
            <family val="2"/>
          </rPr>
          <t>Danna Salomé Martínez Ramírez:</t>
        </r>
        <r>
          <rPr>
            <sz val="9"/>
            <color indexed="81"/>
            <rFont val="Tahoma"/>
            <family val="2"/>
          </rPr>
          <t xml:space="preserve">
27 DIAS OK + 2 DIAS EN SLN + 1 DIA EN SLN</t>
        </r>
      </text>
    </comment>
    <comment ref="R179" authorId="0" shapeId="0">
      <text>
        <r>
          <rPr>
            <b/>
            <sz val="9"/>
            <color indexed="81"/>
            <rFont val="Tahoma"/>
            <charset val="1"/>
          </rPr>
          <t>Danna Salomé Martínez Ramírez:</t>
        </r>
        <r>
          <rPr>
            <sz val="9"/>
            <color indexed="81"/>
            <rFont val="Tahoma"/>
            <charset val="1"/>
          </rPr>
          <t xml:space="preserve">
le cotizaron sobre 1.390.000; cuando a los otros jardineros les cotizaron sobre 1,356,000</t>
        </r>
      </text>
    </comment>
    <comment ref="R180" authorId="0" shapeId="0">
      <text>
        <r>
          <rPr>
            <b/>
            <sz val="9"/>
            <color indexed="81"/>
            <rFont val="Tahoma"/>
            <family val="2"/>
          </rPr>
          <t>Danna Salomé Martínez Ramírez:</t>
        </r>
        <r>
          <rPr>
            <sz val="9"/>
            <color indexed="81"/>
            <rFont val="Tahoma"/>
            <family val="2"/>
          </rPr>
          <t xml:space="preserve">
28 DIAS OK + 2 DIAS EN IGE</t>
        </r>
      </text>
    </comment>
    <comment ref="R182" authorId="0" shapeId="0">
      <text>
        <r>
          <rPr>
            <b/>
            <sz val="9"/>
            <color indexed="81"/>
            <rFont val="Tahoma"/>
            <family val="2"/>
          </rPr>
          <t>Danna Salomé Martínez Ramírez:</t>
        </r>
        <r>
          <rPr>
            <sz val="9"/>
            <color indexed="81"/>
            <rFont val="Tahoma"/>
            <family val="2"/>
          </rPr>
          <t xml:space="preserve">
28 DIAS OK + 2 DIAS EN SLN</t>
        </r>
      </text>
    </comment>
    <comment ref="R188" authorId="0" shapeId="0">
      <text>
        <r>
          <rPr>
            <b/>
            <sz val="9"/>
            <color indexed="81"/>
            <rFont val="Tahoma"/>
            <family val="2"/>
          </rPr>
          <t>Danna Salomé Martínez Ramírez:</t>
        </r>
        <r>
          <rPr>
            <sz val="9"/>
            <color indexed="81"/>
            <rFont val="Tahoma"/>
            <family val="2"/>
          </rPr>
          <t xml:space="preserve">
28 DIAS OK + 1 DIA EN SLN + 1 DIA EN SLN</t>
        </r>
      </text>
    </comment>
    <comment ref="A194" authorId="0" shapeId="0">
      <text>
        <r>
          <rPr>
            <b/>
            <sz val="9"/>
            <color indexed="81"/>
            <rFont val="Tahoma"/>
            <charset val="1"/>
          </rPr>
          <t>Danna Salomé Martínez Ramírez:</t>
        </r>
        <r>
          <rPr>
            <sz val="9"/>
            <color indexed="81"/>
            <rFont val="Tahoma"/>
            <charset val="1"/>
          </rPr>
          <t xml:space="preserve">
ESTA OPERARIA ESTA EN EL CADE PATIO BONITO</t>
        </r>
      </text>
    </comment>
    <comment ref="J194" authorId="1" shapeId="0">
      <text>
        <r>
          <rPr>
            <b/>
            <sz val="9"/>
            <color indexed="81"/>
            <rFont val="Tahoma"/>
            <charset val="1"/>
          </rPr>
          <t>Danna:</t>
        </r>
        <r>
          <rPr>
            <sz val="9"/>
            <color indexed="81"/>
            <rFont val="Tahoma"/>
            <charset val="1"/>
          </rPr>
          <t xml:space="preserve">
son 30 dias; pero no se puede pagar hasta que no alleguen el cumplido de esta unidad operativa; o que corrigan el cumplido del CD Patio Bonito donde certifiquen las 3 operarias</t>
        </r>
      </text>
    </comment>
    <comment ref="R200" authorId="0" shapeId="0">
      <text>
        <r>
          <rPr>
            <b/>
            <sz val="9"/>
            <color indexed="81"/>
            <rFont val="Tahoma"/>
            <charset val="1"/>
          </rPr>
          <t>Danna Salomé Martínez Ramírez:</t>
        </r>
        <r>
          <rPr>
            <sz val="9"/>
            <color indexed="81"/>
            <rFont val="Tahoma"/>
            <charset val="1"/>
          </rPr>
          <t xml:space="preserve">
28 dias ok + 2 dias en SLN</t>
        </r>
      </text>
    </comment>
    <comment ref="R205" authorId="0" shapeId="0">
      <text>
        <r>
          <rPr>
            <b/>
            <sz val="9"/>
            <color indexed="81"/>
            <rFont val="Tahoma"/>
            <charset val="1"/>
          </rPr>
          <t>Danna Salomé Martínez Ramírez:</t>
        </r>
        <r>
          <rPr>
            <sz val="9"/>
            <color indexed="81"/>
            <rFont val="Tahoma"/>
            <charset val="1"/>
          </rPr>
          <t xml:space="preserve">
4 dias ok + 26 dias en ige</t>
        </r>
      </text>
    </comment>
    <comment ref="R206" authorId="0" shapeId="0">
      <text>
        <r>
          <rPr>
            <b/>
            <sz val="9"/>
            <color indexed="81"/>
            <rFont val="Tahoma"/>
            <charset val="1"/>
          </rPr>
          <t>Danna Salomé Martínez Ramírez:</t>
        </r>
        <r>
          <rPr>
            <sz val="9"/>
            <color indexed="81"/>
            <rFont val="Tahoma"/>
            <charset val="1"/>
          </rPr>
          <t xml:space="preserve">
24 dias ok dice ingreso</t>
        </r>
      </text>
    </comment>
  </commentList>
</comments>
</file>

<file path=xl/comments2.xml><?xml version="1.0" encoding="utf-8"?>
<comments xmlns="http://schemas.openxmlformats.org/spreadsheetml/2006/main">
  <authors>
    <author>tc={A8CB4C4A-2E05-4BBA-AEDE-A61D96B53B74}</author>
    <author>tc={91B21F94-1597-498E-BB16-37BAE9542F4B}</author>
    <author>tc={1FC68A02-81B9-490A-9642-7A2C401B1DA9}</author>
    <author>tc={AC410C6E-221E-49FD-B862-5A5B3C29EED9}</author>
    <author>tc={13373BF2-CEB0-40F4-BDD6-D0946815437E}</author>
    <author>tc={BA1B6613-6C7C-43E9-B073-7887AA4320CA}</author>
    <author>tc={689EA367-9834-49F6-A915-69C8F6C0D21C}</author>
    <author>tc={C0A701F3-4F31-4734-A864-803E894BABFE}</author>
    <author>tc={2B66081D-502E-4A51-9848-63E9067B65D3}</author>
    <author>tc={B84A521C-3854-47B5-B66F-42E23D767D4F}</author>
    <author>Danna</author>
    <author>tc={C4B4136A-0F31-4451-99C7-F1FC5CC0C482}</author>
    <author>tc={E6D6228C-45BF-4F19-BE97-8341EABF0CF9}</author>
    <author>tc={32C3B1E3-8015-49B5-9E97-194C9D38DA94}</author>
    <author>tc={00BE78E2-866A-4C7A-99AF-75E8FED5A14D}</author>
    <author>tc={A6420AA5-817B-48D9-A8EC-E464F30BB131}</author>
    <author>tc={CEFF2313-2F69-413F-BE85-437CE13EED5D}</author>
  </authors>
  <commentList>
    <comment ref="K2" authorId="0"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Estos 3 fueron los que no recibieron en el CE Rafael Uribe</t>
        </r>
      </text>
    </comment>
    <comment ref="K3" authorId="1"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Estos 3 fueron los que no recibieron en el CE Rafael Uribe</t>
        </r>
      </text>
    </comment>
    <comment ref="K5" authorId="2"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Estos 2 fueron los que no recibieron en el CE Rafael Uribe</t>
        </r>
      </text>
    </comment>
    <comment ref="K14" authorId="3"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Estos 5 son los que no recibieron del cade la victoria</t>
        </r>
      </text>
    </comment>
    <comment ref="K15" authorId="4"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Estos 5 son los que no recibieron del cade la victoria</t>
        </r>
      </text>
    </comment>
    <comment ref="Q23" authorId="5"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Este 1 adicional fue del cade muzu</t>
        </r>
      </text>
    </comment>
    <comment ref="K52" authorId="6"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Estos 2 son los que no recibieron del cade la victoria</t>
        </r>
      </text>
    </comment>
    <comment ref="K53" authorId="7"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Estos 5 son los que no recibieron del cade la victoria</t>
        </r>
      </text>
    </comment>
    <comment ref="K63" authorId="8"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Estos 3 son los que no recibieron del cade la victoria</t>
        </r>
      </text>
    </comment>
    <comment ref="K64" authorId="9"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Este par son los que no recibieron del cade la victoria</t>
        </r>
      </text>
    </comment>
    <comment ref="X64" authorId="10" shapeId="0">
      <text>
        <r>
          <rPr>
            <b/>
            <sz val="9"/>
            <color indexed="81"/>
            <rFont val="Tahoma"/>
            <charset val="1"/>
          </rPr>
          <t>Danna:</t>
        </r>
        <r>
          <rPr>
            <sz val="9"/>
            <color indexed="81"/>
            <rFont val="Tahoma"/>
            <charset val="1"/>
          </rPr>
          <t xml:space="preserve">
eran 3 pero en julio los devolvieron a la empresa (según correo de la sede)
</t>
        </r>
      </text>
    </comment>
    <comment ref="T66" authorId="11"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Primero decia 20 y despues le enviaron a yenifer una que dice 40</t>
        </r>
      </text>
    </comment>
    <comment ref="Q67" authorId="12"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Estas 2 adicional fue del cade muzu</t>
        </r>
      </text>
    </comment>
    <comment ref="Q72" authorId="13"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Estas 4 adicional fue del cade muzu</t>
        </r>
      </text>
    </comment>
    <comment ref="Q79" authorId="14"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Estos 2 adicional fue del cade muzu</t>
        </r>
      </text>
    </comment>
    <comment ref="Q81" authorId="15"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Estas 2 adicional fue del cade muzu</t>
        </r>
      </text>
    </comment>
    <comment ref="Q86" authorId="16"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Estas 2 adicionales fueron para el cade tunal</t>
        </r>
      </text>
    </comment>
    <comment ref="W91" authorId="10" shapeId="0">
      <text>
        <r>
          <rPr>
            <b/>
            <sz val="9"/>
            <color indexed="81"/>
            <rFont val="Tahoma"/>
            <charset val="1"/>
          </rPr>
          <t>Danna:</t>
        </r>
        <r>
          <rPr>
            <sz val="9"/>
            <color indexed="81"/>
            <rFont val="Tahoma"/>
            <charset val="1"/>
          </rPr>
          <t xml:space="preserve">
decia 2 unidades pero en esfero dice NO SE; por lo que se requiere confirmar</t>
        </r>
      </text>
    </comment>
  </commentList>
</comments>
</file>

<file path=xl/sharedStrings.xml><?xml version="1.0" encoding="utf-8"?>
<sst xmlns="http://schemas.openxmlformats.org/spreadsheetml/2006/main" count="3683" uniqueCount="1081">
  <si>
    <t>SEDE</t>
  </si>
  <si>
    <t>Numero Documento</t>
  </si>
  <si>
    <t>Primer Apellido</t>
  </si>
  <si>
    <t>Segundo Apellido</t>
  </si>
  <si>
    <t>Primer Nombre</t>
  </si>
  <si>
    <t>Segundo Nombre</t>
  </si>
  <si>
    <t>Cargo</t>
  </si>
  <si>
    <t>Fecha Inicio</t>
  </si>
  <si>
    <t xml:space="preserve">DIAS PAGOS </t>
  </si>
  <si>
    <t>ACEVEDO</t>
  </si>
  <si>
    <t>BOHORQUEZ</t>
  </si>
  <si>
    <t>SAMUEL</t>
  </si>
  <si>
    <t>DAVID</t>
  </si>
  <si>
    <t>OPERARIO DE MANTENIMIENTO</t>
  </si>
  <si>
    <t>18/03/2024</t>
  </si>
  <si>
    <t>ALARCON</t>
  </si>
  <si>
    <t>MARINO</t>
  </si>
  <si>
    <t>JULIO</t>
  </si>
  <si>
    <t>CESAR</t>
  </si>
  <si>
    <t>RODRIGUEZ</t>
  </si>
  <si>
    <t>NOHORA</t>
  </si>
  <si>
    <t>EDITH</t>
  </si>
  <si>
    <t>URA</t>
  </si>
  <si>
    <t>MINI</t>
  </si>
  <si>
    <t>JOHANA</t>
  </si>
  <si>
    <t>ALFONSO</t>
  </si>
  <si>
    <t>YULIANA</t>
  </si>
  <si>
    <t>YENNIFER</t>
  </si>
  <si>
    <t>ALVAREZ</t>
  </si>
  <si>
    <t>AGUIRRE</t>
  </si>
  <si>
    <t>ERIKA</t>
  </si>
  <si>
    <t>LILIANA</t>
  </si>
  <si>
    <t>YENI</t>
  </si>
  <si>
    <t>MARITZA</t>
  </si>
  <si>
    <t>ANGULO</t>
  </si>
  <si>
    <t>GARCIA</t>
  </si>
  <si>
    <t>MAIRA</t>
  </si>
  <si>
    <t>LICETH</t>
  </si>
  <si>
    <t>ARAQUE</t>
  </si>
  <si>
    <t>SILVA</t>
  </si>
  <si>
    <t>MIRYAM</t>
  </si>
  <si>
    <t>AREVALO</t>
  </si>
  <si>
    <t>CASTELLANOS</t>
  </si>
  <si>
    <t>CRISTIAN</t>
  </si>
  <si>
    <t>ARLEY</t>
  </si>
  <si>
    <t>SUPERVISOR</t>
  </si>
  <si>
    <t>MEDINA</t>
  </si>
  <si>
    <t>MARIA</t>
  </si>
  <si>
    <t>GLADIS</t>
  </si>
  <si>
    <t>ASPRILLA</t>
  </si>
  <si>
    <t>LONDONO</t>
  </si>
  <si>
    <t>ROSAURA</t>
  </si>
  <si>
    <t>AVILA</t>
  </si>
  <si>
    <t>ADRIANA</t>
  </si>
  <si>
    <t>MILENA</t>
  </si>
  <si>
    <t>LOAIZA</t>
  </si>
  <si>
    <t>PERDOMO</t>
  </si>
  <si>
    <t>FERNANDA</t>
  </si>
  <si>
    <t>BARBOSA</t>
  </si>
  <si>
    <t>HERRERA</t>
  </si>
  <si>
    <t>DIANA</t>
  </si>
  <si>
    <t>BECERRA</t>
  </si>
  <si>
    <t>VALENCIA</t>
  </si>
  <si>
    <t>YULEIDY</t>
  </si>
  <si>
    <t>BEDOYA</t>
  </si>
  <si>
    <t>GUZMAN</t>
  </si>
  <si>
    <t>DAISSY</t>
  </si>
  <si>
    <t>BENAVIDES</t>
  </si>
  <si>
    <t>ALEXANDRA</t>
  </si>
  <si>
    <t>BERMUDEZ</t>
  </si>
  <si>
    <t>HIGUITA</t>
  </si>
  <si>
    <t>LUZ</t>
  </si>
  <si>
    <t>MARABEDY</t>
  </si>
  <si>
    <t>MARTINEZ</t>
  </si>
  <si>
    <t>JENNY</t>
  </si>
  <si>
    <t>KIMBERLY</t>
  </si>
  <si>
    <t>BOSCAN</t>
  </si>
  <si>
    <t>GAMARRA</t>
  </si>
  <si>
    <t>ANGEL</t>
  </si>
  <si>
    <t>ARMANDO</t>
  </si>
  <si>
    <t>BRICENO</t>
  </si>
  <si>
    <t>MEZA</t>
  </si>
  <si>
    <t>YIBEIXY</t>
  </si>
  <si>
    <t>BUITRAGO</t>
  </si>
  <si>
    <t>BOBADILLA</t>
  </si>
  <si>
    <t>ANA</t>
  </si>
  <si>
    <t>ODILIA</t>
  </si>
  <si>
    <t>CAICEDO</t>
  </si>
  <si>
    <t>EDGAR</t>
  </si>
  <si>
    <t>JARDINERO</t>
  </si>
  <si>
    <t>CAMARGO</t>
  </si>
  <si>
    <t>ALBA</t>
  </si>
  <si>
    <t>BLANCA</t>
  </si>
  <si>
    <t>ESTRELLA</t>
  </si>
  <si>
    <t>HERNANDEZ</t>
  </si>
  <si>
    <t>LUISA</t>
  </si>
  <si>
    <t>CANARIA</t>
  </si>
  <si>
    <t>MACHUCA</t>
  </si>
  <si>
    <t>MIGUEL</t>
  </si>
  <si>
    <t>ANTONIO</t>
  </si>
  <si>
    <t>CARDENAS</t>
  </si>
  <si>
    <t>FALON</t>
  </si>
  <si>
    <t>NELSY</t>
  </si>
  <si>
    <t>XIOMARA</t>
  </si>
  <si>
    <t>SIERRA</t>
  </si>
  <si>
    <t>ANGELA</t>
  </si>
  <si>
    <t>VIVIANA</t>
  </si>
  <si>
    <t>CARRILLO</t>
  </si>
  <si>
    <t>ESPINOSA</t>
  </si>
  <si>
    <t>LAURA</t>
  </si>
  <si>
    <t>MARCELA</t>
  </si>
  <si>
    <t>SARMIENTO</t>
  </si>
  <si>
    <t>ANGIE</t>
  </si>
  <si>
    <t>LIZETH</t>
  </si>
  <si>
    <t>CASTRO</t>
  </si>
  <si>
    <t>GUTIERREZ</t>
  </si>
  <si>
    <t>RUTH</t>
  </si>
  <si>
    <t>MARINELA</t>
  </si>
  <si>
    <t>CATUCHE</t>
  </si>
  <si>
    <t>PIAMBA</t>
  </si>
  <si>
    <t>MARINA</t>
  </si>
  <si>
    <t>CERQUERA</t>
  </si>
  <si>
    <t>PARRA</t>
  </si>
  <si>
    <t>GINA</t>
  </si>
  <si>
    <t>ALEJANDRA</t>
  </si>
  <si>
    <t>CHAPARRO</t>
  </si>
  <si>
    <t>MORA</t>
  </si>
  <si>
    <t>GLORIA</t>
  </si>
  <si>
    <t>ESPERANZA</t>
  </si>
  <si>
    <t>CHIPATECUA</t>
  </si>
  <si>
    <t>CUBILLOS</t>
  </si>
  <si>
    <t>ARTURO</t>
  </si>
  <si>
    <t>CIFUENTES</t>
  </si>
  <si>
    <t>CITA</t>
  </si>
  <si>
    <t>ORLANDO</t>
  </si>
  <si>
    <t>CORTES</t>
  </si>
  <si>
    <t>MURCIA</t>
  </si>
  <si>
    <t>DIOMAR</t>
  </si>
  <si>
    <t>CUADROS</t>
  </si>
  <si>
    <t>VALDERRAMA</t>
  </si>
  <si>
    <t>FRANCEID</t>
  </si>
  <si>
    <t>DE LA CRUZ</t>
  </si>
  <si>
    <t>RIVERA</t>
  </si>
  <si>
    <t>SOLMARY</t>
  </si>
  <si>
    <t>DIAZ</t>
  </si>
  <si>
    <t>LORENA</t>
  </si>
  <si>
    <t>PATRICIA</t>
  </si>
  <si>
    <t>FLOREZ</t>
  </si>
  <si>
    <t>QUIROGA</t>
  </si>
  <si>
    <t>MILA</t>
  </si>
  <si>
    <t>FUENTES</t>
  </si>
  <si>
    <t>BALDOVINO</t>
  </si>
  <si>
    <t>JORGE</t>
  </si>
  <si>
    <t>LUIS</t>
  </si>
  <si>
    <t>FULA</t>
  </si>
  <si>
    <t>VALBUENA</t>
  </si>
  <si>
    <t>YANETH</t>
  </si>
  <si>
    <t>FUQUENE</t>
  </si>
  <si>
    <t>CANON</t>
  </si>
  <si>
    <t>SANDRA</t>
  </si>
  <si>
    <t>YAMILE</t>
  </si>
  <si>
    <t>FONSECA</t>
  </si>
  <si>
    <t>GARZON</t>
  </si>
  <si>
    <t>GIRALDO</t>
  </si>
  <si>
    <t>JAIRO</t>
  </si>
  <si>
    <t>ALONSO</t>
  </si>
  <si>
    <t>LOPEZ</t>
  </si>
  <si>
    <t>ESTELLA</t>
  </si>
  <si>
    <t>GOMEZ</t>
  </si>
  <si>
    <t>MARTHA</t>
  </si>
  <si>
    <t>RUBIELA</t>
  </si>
  <si>
    <t>ORTIZ</t>
  </si>
  <si>
    <t>GERALDINE</t>
  </si>
  <si>
    <t>MARISOL</t>
  </si>
  <si>
    <t>VIVERO</t>
  </si>
  <si>
    <t>CARLOS</t>
  </si>
  <si>
    <t>MARIO</t>
  </si>
  <si>
    <t>GUAYARA</t>
  </si>
  <si>
    <t>MOSCOSO</t>
  </si>
  <si>
    <t>MARIS</t>
  </si>
  <si>
    <t>MELDA</t>
  </si>
  <si>
    <t>GUERRERO</t>
  </si>
  <si>
    <t>CHISABA</t>
  </si>
  <si>
    <t>ROCIO</t>
  </si>
  <si>
    <t>LUNA</t>
  </si>
  <si>
    <t>MARIBEL</t>
  </si>
  <si>
    <t>HURTADO</t>
  </si>
  <si>
    <t>ALEXANDER</t>
  </si>
  <si>
    <t>IGLESIAS</t>
  </si>
  <si>
    <t>BARRIOS</t>
  </si>
  <si>
    <t>YERIBETH</t>
  </si>
  <si>
    <t>OPERARIO DE ASEO Y CAFETERIA</t>
  </si>
  <si>
    <t>INFANTE</t>
  </si>
  <si>
    <t>DANIEL</t>
  </si>
  <si>
    <t>JARAMILLO</t>
  </si>
  <si>
    <t>TOBON</t>
  </si>
  <si>
    <t>SIRLEY</t>
  </si>
  <si>
    <t>LARA</t>
  </si>
  <si>
    <t>PINZON</t>
  </si>
  <si>
    <t>LEON</t>
  </si>
  <si>
    <t>ESCOBAR</t>
  </si>
  <si>
    <t>LEYDY</t>
  </si>
  <si>
    <t>YOANA</t>
  </si>
  <si>
    <t>VILLEGAS</t>
  </si>
  <si>
    <t>EDILSON</t>
  </si>
  <si>
    <t>ALDANA</t>
  </si>
  <si>
    <t>KAREN</t>
  </si>
  <si>
    <t>YULIE</t>
  </si>
  <si>
    <t>DORIA</t>
  </si>
  <si>
    <t>PEDRO</t>
  </si>
  <si>
    <t>OPERARIO AUXILIAR</t>
  </si>
  <si>
    <t>MERY</t>
  </si>
  <si>
    <t>SANCHEZ</t>
  </si>
  <si>
    <t>DEL PILAR</t>
  </si>
  <si>
    <t>LOZANO</t>
  </si>
  <si>
    <t>MANRIQUE</t>
  </si>
  <si>
    <t>JAIDY</t>
  </si>
  <si>
    <t>OCHOA</t>
  </si>
  <si>
    <t>GLADYS</t>
  </si>
  <si>
    <t>STELLA</t>
  </si>
  <si>
    <t>ORTEGA</t>
  </si>
  <si>
    <t>MONTOYA</t>
  </si>
  <si>
    <t>PAOLA</t>
  </si>
  <si>
    <t>ANDREA</t>
  </si>
  <si>
    <t>MORALES</t>
  </si>
  <si>
    <t>CHAVEZ</t>
  </si>
  <si>
    <t>JOSE</t>
  </si>
  <si>
    <t>NAVARRO</t>
  </si>
  <si>
    <t>ARRIETA</t>
  </si>
  <si>
    <t>LICENIA</t>
  </si>
  <si>
    <t>MERCEDES</t>
  </si>
  <si>
    <t>NUNEZ</t>
  </si>
  <si>
    <t>YULI</t>
  </si>
  <si>
    <t>LEIDY</t>
  </si>
  <si>
    <t>OROZCO</t>
  </si>
  <si>
    <t>BELLAMIRA</t>
  </si>
  <si>
    <t>TIVISAY</t>
  </si>
  <si>
    <t>KATERINE</t>
  </si>
  <si>
    <t>PALMED</t>
  </si>
  <si>
    <t>HUERTA</t>
  </si>
  <si>
    <t>PANCHE</t>
  </si>
  <si>
    <t>SERNA</t>
  </si>
  <si>
    <t>PENA</t>
  </si>
  <si>
    <t>CUELLAR</t>
  </si>
  <si>
    <t>ALEXIS</t>
  </si>
  <si>
    <t>PERALTA</t>
  </si>
  <si>
    <t>OSCAR</t>
  </si>
  <si>
    <t>HUMBERTO</t>
  </si>
  <si>
    <t>PESTANA</t>
  </si>
  <si>
    <t>MARELIS</t>
  </si>
  <si>
    <t>PORTELA</t>
  </si>
  <si>
    <t>CANIZALES</t>
  </si>
  <si>
    <t>PUENTES</t>
  </si>
  <si>
    <t>ROSA</t>
  </si>
  <si>
    <t>CORREDOR</t>
  </si>
  <si>
    <t>DORA</t>
  </si>
  <si>
    <t>PULIDO</t>
  </si>
  <si>
    <t>GONZALEZ</t>
  </si>
  <si>
    <t>BERTULIO</t>
  </si>
  <si>
    <t>QUELAL</t>
  </si>
  <si>
    <t>RUIZ</t>
  </si>
  <si>
    <t>DIEGO</t>
  </si>
  <si>
    <t>MARIN</t>
  </si>
  <si>
    <t>QUINTERO</t>
  </si>
  <si>
    <t>YENNY</t>
  </si>
  <si>
    <t>KATHERINE</t>
  </si>
  <si>
    <t>RAMIREZ</t>
  </si>
  <si>
    <t>EPEIYU</t>
  </si>
  <si>
    <t>YENIS</t>
  </si>
  <si>
    <t>DEL CARMEN</t>
  </si>
  <si>
    <t>MENDEZ</t>
  </si>
  <si>
    <t>OLGA</t>
  </si>
  <si>
    <t>LUCIA</t>
  </si>
  <si>
    <t>TORRES</t>
  </si>
  <si>
    <t>RAMOS</t>
  </si>
  <si>
    <t>DORIS</t>
  </si>
  <si>
    <t>JANNETH</t>
  </si>
  <si>
    <t>REVOLLO</t>
  </si>
  <si>
    <t>MERCADO</t>
  </si>
  <si>
    <t>CINDY</t>
  </si>
  <si>
    <t>SUGEY</t>
  </si>
  <si>
    <t>REY</t>
  </si>
  <si>
    <t>PARDO</t>
  </si>
  <si>
    <t>YUDI</t>
  </si>
  <si>
    <t>JASBLEIDI</t>
  </si>
  <si>
    <t>JHON</t>
  </si>
  <si>
    <t>EDISON</t>
  </si>
  <si>
    <t>BERNAL</t>
  </si>
  <si>
    <t>FLOR</t>
  </si>
  <si>
    <t>FORERO</t>
  </si>
  <si>
    <t>AURORA</t>
  </si>
  <si>
    <t>ROJAS</t>
  </si>
  <si>
    <t>OBANDO</t>
  </si>
  <si>
    <t>ALFREDO</t>
  </si>
  <si>
    <t>GREYDI</t>
  </si>
  <si>
    <t>NIVARDO</t>
  </si>
  <si>
    <t>ROMERO</t>
  </si>
  <si>
    <t>CARO</t>
  </si>
  <si>
    <t>JOHATAN</t>
  </si>
  <si>
    <t>SONIA</t>
  </si>
  <si>
    <t>EMILCE</t>
  </si>
  <si>
    <t>RUBIO</t>
  </si>
  <si>
    <t>WILLIAM</t>
  </si>
  <si>
    <t>ALEJANDRO</t>
  </si>
  <si>
    <t>RUNZA</t>
  </si>
  <si>
    <t>SEGURA</t>
  </si>
  <si>
    <t>RUSSI</t>
  </si>
  <si>
    <t>MORENO</t>
  </si>
  <si>
    <t>MARGARETH</t>
  </si>
  <si>
    <t>SACRISTAN</t>
  </si>
  <si>
    <t>ELVIRA</t>
  </si>
  <si>
    <t>SOTO</t>
  </si>
  <si>
    <t>SUAREZ</t>
  </si>
  <si>
    <t>CUCAITA</t>
  </si>
  <si>
    <t>BENJAMIN</t>
  </si>
  <si>
    <t>MADYURI</t>
  </si>
  <si>
    <t>TAPIERO</t>
  </si>
  <si>
    <t>YULY</t>
  </si>
  <si>
    <t>TIBAQUIRA</t>
  </si>
  <si>
    <t>ISABEL</t>
  </si>
  <si>
    <t>TOCA</t>
  </si>
  <si>
    <t>RINCON</t>
  </si>
  <si>
    <t>CAROLINA</t>
  </si>
  <si>
    <t>MANUEL</t>
  </si>
  <si>
    <t>HERNAN</t>
  </si>
  <si>
    <t>TRIVINO</t>
  </si>
  <si>
    <t>LURY</t>
  </si>
  <si>
    <t>HEYDE</t>
  </si>
  <si>
    <t>TURMEQUE</t>
  </si>
  <si>
    <t>HEIDY</t>
  </si>
  <si>
    <t>ULLOA</t>
  </si>
  <si>
    <t>ACOSTA</t>
  </si>
  <si>
    <t>CABRERA</t>
  </si>
  <si>
    <t>NATALY</t>
  </si>
  <si>
    <t>VARGAS</t>
  </si>
  <si>
    <t>NINO</t>
  </si>
  <si>
    <t>VELASCO</t>
  </si>
  <si>
    <t>LADY</t>
  </si>
  <si>
    <t>KARINA</t>
  </si>
  <si>
    <t>VELAZQUEZ</t>
  </si>
  <si>
    <t>YULIS</t>
  </si>
  <si>
    <t>YUNITH</t>
  </si>
  <si>
    <t>VILLARREAL</t>
  </si>
  <si>
    <t>ROYER</t>
  </si>
  <si>
    <t>DAIRON</t>
  </si>
  <si>
    <t>ABEL</t>
  </si>
  <si>
    <t>VILORIA</t>
  </si>
  <si>
    <t>YAQUELINE</t>
  </si>
  <si>
    <t>ZAPATA</t>
  </si>
  <si>
    <t>CAMACHO</t>
  </si>
  <si>
    <t>NUBIA</t>
  </si>
  <si>
    <t>AMPARO</t>
  </si>
  <si>
    <t>CONTRERAS</t>
  </si>
  <si>
    <t>ELENA</t>
  </si>
  <si>
    <t>20/03/2024</t>
  </si>
  <si>
    <t>MALDONADO</t>
  </si>
  <si>
    <t>JESSICA</t>
  </si>
  <si>
    <t>CHAMORRO</t>
  </si>
  <si>
    <t>OSPINO</t>
  </si>
  <si>
    <t>EMILI</t>
  </si>
  <si>
    <t>BETANCOURTH</t>
  </si>
  <si>
    <t>BOCANEGRA</t>
  </si>
  <si>
    <t>YESIKA</t>
  </si>
  <si>
    <t>CAMPOS</t>
  </si>
  <si>
    <t>CARDOSO</t>
  </si>
  <si>
    <t>JULIANA</t>
  </si>
  <si>
    <t>OCAMPO</t>
  </si>
  <si>
    <t>PALACIOS</t>
  </si>
  <si>
    <t>MAYERLY</t>
  </si>
  <si>
    <t>JOHANNA</t>
  </si>
  <si>
    <t>VALLECILLA</t>
  </si>
  <si>
    <t>ANYI</t>
  </si>
  <si>
    <t>BARRETO</t>
  </si>
  <si>
    <t>PEREZ</t>
  </si>
  <si>
    <t>GUIONEDYS</t>
  </si>
  <si>
    <t>CICHACA</t>
  </si>
  <si>
    <t>JOSEFINA</t>
  </si>
  <si>
    <t>LADINO</t>
  </si>
  <si>
    <t>ARDILA</t>
  </si>
  <si>
    <t>DAMARIS</t>
  </si>
  <si>
    <t>HIDALGO</t>
  </si>
  <si>
    <t>PANESSO</t>
  </si>
  <si>
    <t>YURANIS</t>
  </si>
  <si>
    <t>BAENA</t>
  </si>
  <si>
    <t>FONTALBO</t>
  </si>
  <si>
    <t>YORBIS</t>
  </si>
  <si>
    <t>MUNOZ</t>
  </si>
  <si>
    <t>JEIMMY</t>
  </si>
  <si>
    <t>BOTIA</t>
  </si>
  <si>
    <t>CONSUELO</t>
  </si>
  <si>
    <t>MARROQUIN</t>
  </si>
  <si>
    <t>GALEANO</t>
  </si>
  <si>
    <t>ELIZABETH</t>
  </si>
  <si>
    <t>23/03/2024</t>
  </si>
  <si>
    <t>PEREIRA</t>
  </si>
  <si>
    <t>ANYUL</t>
  </si>
  <si>
    <t>STEFANNY</t>
  </si>
  <si>
    <t>OQUENDO</t>
  </si>
  <si>
    <t>VALENTINA</t>
  </si>
  <si>
    <t>ARIAS</t>
  </si>
  <si>
    <t>JIMENEZ</t>
  </si>
  <si>
    <t>YEIMI</t>
  </si>
  <si>
    <t>ANDERSON</t>
  </si>
  <si>
    <t>LEMUS</t>
  </si>
  <si>
    <t>ROSORIS</t>
  </si>
  <si>
    <t>MARILIS</t>
  </si>
  <si>
    <t>YESENIA</t>
  </si>
  <si>
    <t>YERSON</t>
  </si>
  <si>
    <t>ESTIVEN</t>
  </si>
  <si>
    <t>ROSALBA</t>
  </si>
  <si>
    <t xml:space="preserve">SUPERNUMERARIA </t>
  </si>
  <si>
    <t>03/04/2024</t>
  </si>
  <si>
    <t>ORJUELA</t>
  </si>
  <si>
    <t>DELGADILLO</t>
  </si>
  <si>
    <t>YIZETH</t>
  </si>
  <si>
    <t>ZAMORA</t>
  </si>
  <si>
    <t>AMALIA</t>
  </si>
  <si>
    <t>IVONNE</t>
  </si>
  <si>
    <t>HIGUERA</t>
  </si>
  <si>
    <t>RUDY</t>
  </si>
  <si>
    <t>13/04/2024</t>
  </si>
  <si>
    <t>TRONCOSO</t>
  </si>
  <si>
    <t>BRAYAN</t>
  </si>
  <si>
    <t>RICARDO</t>
  </si>
  <si>
    <t>ELLES</t>
  </si>
  <si>
    <t>JESUS</t>
  </si>
  <si>
    <t>EDUARDO</t>
  </si>
  <si>
    <t>LAGOS</t>
  </si>
  <si>
    <t>MONTIEL</t>
  </si>
  <si>
    <t>JUAN</t>
  </si>
  <si>
    <t>16/04/2024</t>
  </si>
  <si>
    <t>TRIANA</t>
  </si>
  <si>
    <t>HERNANDO</t>
  </si>
  <si>
    <t>MIRELLA</t>
  </si>
  <si>
    <t>FECHA DE RETIRO</t>
  </si>
  <si>
    <t>Nuevo precio cláusula 8</t>
  </si>
  <si>
    <t>AIU 10%</t>
  </si>
  <si>
    <t>IVA 19%</t>
  </si>
  <si>
    <t>No.</t>
  </si>
  <si>
    <t>Bien</t>
  </si>
  <si>
    <t>VALOR UNITARIO CON IVA Y AIU</t>
  </si>
  <si>
    <t>RUBRO</t>
  </si>
  <si>
    <t>NOMBRE RUBRO</t>
  </si>
  <si>
    <t>O2120201003053532103</t>
  </si>
  <si>
    <t>Jabones líquidos para lavar</t>
  </si>
  <si>
    <t>Jabón para loza 1 (Compra)</t>
  </si>
  <si>
    <t>O2120201003053532101</t>
  </si>
  <si>
    <t>Jabones en pasta para lavar</t>
  </si>
  <si>
    <t>Jabón en barra (Compra)</t>
  </si>
  <si>
    <t>O2120201003053532104</t>
  </si>
  <si>
    <t>Jabones industriales</t>
  </si>
  <si>
    <t>Jabón abrasivo (Compra)</t>
  </si>
  <si>
    <t>O2120201003053532105</t>
  </si>
  <si>
    <t>Jabones de tocador</t>
  </si>
  <si>
    <t>Jabón de dispensador para manos 2 (Compra)</t>
  </si>
  <si>
    <t>O2120201003043466401</t>
  </si>
  <si>
    <t>Desinfectantes</t>
  </si>
  <si>
    <t>Limpiador multiusos 1 (Compra)</t>
  </si>
  <si>
    <t>O2120201003033335004</t>
  </si>
  <si>
    <t>Varsol-disolvente núm. 4</t>
  </si>
  <si>
    <t>Líquido desengrasante (Compra)</t>
  </si>
  <si>
    <t>O2120201003053532201</t>
  </si>
  <si>
    <t>Detergentes en polvo</t>
  </si>
  <si>
    <t>Detergente multiusos en polvo (Compra)</t>
  </si>
  <si>
    <t>Desinfectante de alto nivel de desinfección para uso hospitalario (Compra)</t>
  </si>
  <si>
    <t>Pastilla desinfectante para sanitario (Compra)</t>
  </si>
  <si>
    <t>O2120201003053532204</t>
  </si>
  <si>
    <t>Preparaciones para limpiar vidrios</t>
  </si>
  <si>
    <t>Líquido para limpiar vidrios 1 (Compra)</t>
  </si>
  <si>
    <t>O2120201003043424014</t>
  </si>
  <si>
    <t>Hipoclorito de sodio</t>
  </si>
  <si>
    <t>Blanqueador o hipoclorito 1 (Compra)</t>
  </si>
  <si>
    <t>O2120201003053533202</t>
  </si>
  <si>
    <t>Ceras para pisos</t>
  </si>
  <si>
    <t>Cera polimérica (Compra)</t>
  </si>
  <si>
    <t>O2120201003053549945</t>
  </si>
  <si>
    <t>Productos químicos especiales para tratamiento de pisos</t>
  </si>
  <si>
    <t>Sellante para pisos (Compra)</t>
  </si>
  <si>
    <t>Mantenedor de pisos (Compra)</t>
  </si>
  <si>
    <t>Removedor de cera (Compra)</t>
  </si>
  <si>
    <t>Jabón neutro para pisos 1 (Compra)</t>
  </si>
  <si>
    <t>Varsol ecológico 2 (Compra)</t>
  </si>
  <si>
    <t>O2120201003053533102</t>
  </si>
  <si>
    <t>Purificadores líquidos de ambiente</t>
  </si>
  <si>
    <t>Ambientador 1 (Compra)</t>
  </si>
  <si>
    <t>Ambientador 2 (Compra)</t>
  </si>
  <si>
    <t>O2120201003033335001</t>
  </si>
  <si>
    <t>Solventes para insecticida</t>
  </si>
  <si>
    <t>Insecticida 1 (Compra)</t>
  </si>
  <si>
    <t>Insecticida 2 (Compra)</t>
  </si>
  <si>
    <t>O2120201002072792104</t>
  </si>
  <si>
    <t>Fieltros de algodón</t>
  </si>
  <si>
    <t>Limpiones 1 (Compra)</t>
  </si>
  <si>
    <t>Limpiones 2 (Compra)</t>
  </si>
  <si>
    <t>Limpiones 3 (Compra)</t>
  </si>
  <si>
    <t>Limpiones 4 (Compra)</t>
  </si>
  <si>
    <t>Limpiones 5 (Compra)</t>
  </si>
  <si>
    <t>Bayetilla 1 (Compra)</t>
  </si>
  <si>
    <t>Bayetilla 2 (Compra)</t>
  </si>
  <si>
    <t>O2120201002072719009</t>
  </si>
  <si>
    <t> Paños absorbentes desechables para uso doméstico</t>
  </si>
  <si>
    <t>Paño absorbente multiusos 1 (Compra)</t>
  </si>
  <si>
    <t>Paño absorbente multiusos 2 (Compra)</t>
  </si>
  <si>
    <t>O2120201004024291231</t>
  </si>
  <si>
    <t>Esponjas y esponjillas metálicas</t>
  </si>
  <si>
    <t>Esponjilla 1 (Compra)</t>
  </si>
  <si>
    <t>Esponjilla 2 (Compra)</t>
  </si>
  <si>
    <t>Esponjilla 3 (Compra)</t>
  </si>
  <si>
    <t>Esponjilla 4 (Compra)</t>
  </si>
  <si>
    <t>Esponjilla 5 (Compra)</t>
  </si>
  <si>
    <t>O2120201003083899302</t>
  </si>
  <si>
    <t>Escobas</t>
  </si>
  <si>
    <t>Escoba 1 (Compra)</t>
  </si>
  <si>
    <t>Escoba 2 (Compra)</t>
  </si>
  <si>
    <t>Escoba 3 (Compra)</t>
  </si>
  <si>
    <t>Escoba 4 (Compra)</t>
  </si>
  <si>
    <t>O2120201004024299201</t>
  </si>
  <si>
    <t>Mangos metálicos</t>
  </si>
  <si>
    <t>Mango metálico escoba 1 (Compra)</t>
  </si>
  <si>
    <t>O2120201003083899303</t>
  </si>
  <si>
    <t>Cepillos para lavar o fregar</t>
  </si>
  <si>
    <t>Cepillos 2 (Compra)</t>
  </si>
  <si>
    <t>Cepillos 3 (Compra)</t>
  </si>
  <si>
    <t>O2120201002072732007</t>
  </si>
  <si>
    <t> Mechas para trapero</t>
  </si>
  <si>
    <t>Trapero 1 (Compra)</t>
  </si>
  <si>
    <t>Trapero 2 (Compra)</t>
  </si>
  <si>
    <t>Trapero 3 (Compra)</t>
  </si>
  <si>
    <t>Mango metálico trapero (Compra)</t>
  </si>
  <si>
    <t>Cepillo para sanitario (churrusco) (Compra)</t>
  </si>
  <si>
    <t>Pads 1 (Compra)</t>
  </si>
  <si>
    <t>Pads 2 (Compra)</t>
  </si>
  <si>
    <t>Pads 3 (Compra)</t>
  </si>
  <si>
    <t>Pads 4 (Compra)</t>
  </si>
  <si>
    <t>Boneth 2 (Compra)</t>
  </si>
  <si>
    <t>O2120201003063641001</t>
  </si>
  <si>
    <t>Bolsas de material plástico sin impresión</t>
  </si>
  <si>
    <t>Bolsas plásticas 1 (Compra)</t>
  </si>
  <si>
    <t>Bolsas plásticas 2 (Compra)</t>
  </si>
  <si>
    <t>Bolsas plásticas 8 (Compra)</t>
  </si>
  <si>
    <t>Bolsas plásticas 15 (Compra)</t>
  </si>
  <si>
    <t>Bolsas plásticas 17 (Compra)</t>
  </si>
  <si>
    <t>Bolsas plásticas 22 (Compra)</t>
  </si>
  <si>
    <t>Bolsas plásticas 24 (Compra)</t>
  </si>
  <si>
    <t>O2120201002082823803</t>
  </si>
  <si>
    <t>Guantes de fibras artificiales y sintéticas</t>
  </si>
  <si>
    <t>Guantes 7 (Compra)</t>
  </si>
  <si>
    <t>Guantes 9 (Compra)</t>
  </si>
  <si>
    <t>O2120201003023213101</t>
  </si>
  <si>
    <t>Papel del tipo utilizado para papel higiénico</t>
  </si>
  <si>
    <t>Papel higiénico 1 (Compra)</t>
  </si>
  <si>
    <t>Papel higiénico 3 (Compra)</t>
  </si>
  <si>
    <t>O2120201003023219304</t>
  </si>
  <si>
    <t>Toallas de papel</t>
  </si>
  <si>
    <t>Toallas para manos 6 (Compra)</t>
  </si>
  <si>
    <t>Toallas para manos 7 (Compra)</t>
  </si>
  <si>
    <t>O2120201003023219303</t>
  </si>
  <si>
    <t>Pañuelos de papel</t>
  </si>
  <si>
    <t>Pañuelos (Compra)</t>
  </si>
  <si>
    <t>O2120201003023219907</t>
  </si>
  <si>
    <t>Vasos de papel o cartón</t>
  </si>
  <si>
    <t>Vasos biodegradables 2 (Compra)</t>
  </si>
  <si>
    <t>Vasos biodegradables 3 (Compra)</t>
  </si>
  <si>
    <t>Vasos biodegradables 4 (Compra)</t>
  </si>
  <si>
    <t>O2120201003013191409</t>
  </si>
  <si>
    <t>Aplicadores, bajalenguas y otros para usos higiénicos, de madera</t>
  </si>
  <si>
    <t>Mezclador 1 (Compra)</t>
  </si>
  <si>
    <t>O2120201003023213102</t>
  </si>
  <si>
    <t>Papel para servilletas, toallas y similares</t>
  </si>
  <si>
    <t>Servilleta papel (Compra)</t>
  </si>
  <si>
    <t>O2120201002072719007</t>
  </si>
  <si>
    <t>Filtros de material textil, para usos técnicos e industriales</t>
  </si>
  <si>
    <t>Filtro para greca 1 (Compra)</t>
  </si>
  <si>
    <t>Filtro para greca 2 (Compra)</t>
  </si>
  <si>
    <t>O2120201003073719199</t>
  </si>
  <si>
    <t>Envases n.c.p. de vidrio</t>
  </si>
  <si>
    <t>Termo para café 1 (Compra)</t>
  </si>
  <si>
    <t>O2120201002032381302</t>
  </si>
  <si>
    <t> Café molido</t>
  </si>
  <si>
    <t>Café 1 (Compra)</t>
  </si>
  <si>
    <t>O2120201002032382103</t>
  </si>
  <si>
    <t> Café instantáneo aglomerado o atomizado</t>
  </si>
  <si>
    <t>Crema para café (Compra)</t>
  </si>
  <si>
    <t>O2120201002032352001</t>
  </si>
  <si>
    <t>Azúcar refinada</t>
  </si>
  <si>
    <t>Azúcar 1 (Compra)</t>
  </si>
  <si>
    <t>Azúcar 3 (Compra)</t>
  </si>
  <si>
    <t>O2120201002032399921</t>
  </si>
  <si>
    <t>Productos aromáticos diversos</t>
  </si>
  <si>
    <t>Aromática (Compra)</t>
  </si>
  <si>
    <t>O2120201002032391101</t>
  </si>
  <si>
    <t>Té elaborado</t>
  </si>
  <si>
    <t>Té (Compra)</t>
  </si>
  <si>
    <t>Infusión frutal (Compra)</t>
  </si>
  <si>
    <t>O2120201002042441001</t>
  </si>
  <si>
    <t>Agua purificada (envasada)</t>
  </si>
  <si>
    <t>Agua potable 4 (Compra)</t>
  </si>
  <si>
    <t>Brillador 1 (Compra)</t>
  </si>
  <si>
    <t>Brillador 2 (Compra)</t>
  </si>
  <si>
    <t>Repuestos brillador 1 (Compra)</t>
  </si>
  <si>
    <t>Repuestos brillador 2 (Compra)</t>
  </si>
  <si>
    <t>Destapador para sanitario (chupa) (Compra)</t>
  </si>
  <si>
    <t>O2120201003063694016</t>
  </si>
  <si>
    <t>Recogedores plásticos de basura</t>
  </si>
  <si>
    <t>Recogedor de basura 1 (Compra)</t>
  </si>
  <si>
    <t>O21202020070373122</t>
  </si>
  <si>
    <t>Servicios de arrendamiento o de alquiler de maquinaria y equipo de construcción sin operario</t>
  </si>
  <si>
    <t>Atomizadores (Compra)</t>
  </si>
  <si>
    <t>O2120201003073719305</t>
  </si>
  <si>
    <t>Vasos y jarros de vidrio</t>
  </si>
  <si>
    <t>Vasos  1 (Compra)</t>
  </si>
  <si>
    <t>O2120201003073722101</t>
  </si>
  <si>
    <t>Vajillas de loza-pedernal</t>
  </si>
  <si>
    <t>Terno para café (Compra)</t>
  </si>
  <si>
    <t>Haraganes 2  (Compra)</t>
  </si>
  <si>
    <t>Haraganes 4  (Compra)</t>
  </si>
  <si>
    <t>O2120201003063694012</t>
  </si>
  <si>
    <t>Recipientes de material plástico-canecas para la basura</t>
  </si>
  <si>
    <t>Balde (Compra)</t>
  </si>
  <si>
    <t>Bandeja 1 (Arrendamiento)</t>
  </si>
  <si>
    <t>Bandeja 2 (Arrendamiento)</t>
  </si>
  <si>
    <t>Olleta (Arrendamiento)</t>
  </si>
  <si>
    <t>Olla 2 (Arrendamiento)</t>
  </si>
  <si>
    <t>Soporte para Botellón de agua (Compra)</t>
  </si>
  <si>
    <t>O21202020070373230</t>
  </si>
  <si>
    <t>Servicios de arrendamiento sin opción de compra de muebles y otros aparatos domésticos</t>
  </si>
  <si>
    <t>Carro exprimidor de trapero 2 (Arrendamiento)</t>
  </si>
  <si>
    <t>Carro de bebidas (Arrendamiento)</t>
  </si>
  <si>
    <t>Escalera 2 (Arrendamiento)</t>
  </si>
  <si>
    <t>Escalera de tipo industrial (Arrendamiento)</t>
  </si>
  <si>
    <t>Mangueras 2 (Arrendamiento)</t>
  </si>
  <si>
    <t>Mangueras 3 (Arrendamiento)</t>
  </si>
  <si>
    <t>Punto Ecológico 4 (Compra)</t>
  </si>
  <si>
    <t>Punto Ecológico 5 (Compra)</t>
  </si>
  <si>
    <t>Punto Ecológico 6 (Compra)</t>
  </si>
  <si>
    <t>Señales peatonales de prevención y atención 3 (Compra)</t>
  </si>
  <si>
    <t>Dispensador para papel higiénico 2 (Compra)</t>
  </si>
  <si>
    <t>Dispensador de toallas de manos 3 (Compra)</t>
  </si>
  <si>
    <t>Dispensador de jabón líquido 3 (Compra)</t>
  </si>
  <si>
    <t>Dispensador goteo por gravedad y recarga (Compra)</t>
  </si>
  <si>
    <t>Greca para tintos 2 (Arrendamiento)</t>
  </si>
  <si>
    <t>Greca para tintos 3 (Arrendamiento)</t>
  </si>
  <si>
    <t>Horno microondas de tipo industrial (Arrendamiento)</t>
  </si>
  <si>
    <t>Estufa 1 (Arrendamiento)</t>
  </si>
  <si>
    <t>Aspiradora 2 (Arrendamiento)</t>
  </si>
  <si>
    <t>Lavabrilladora de pisos 1 (Arrendamiento)</t>
  </si>
  <si>
    <t>Lavabrilladora de pisos 2 (Arrendamiento)</t>
  </si>
  <si>
    <t>Brilladora de alta revolución (Arrendamiento)</t>
  </si>
  <si>
    <t>Lavadora de alfombras y tapetes 1 (Arrendamiento)</t>
  </si>
  <si>
    <t>Hidrolavadora Industrial (Arrendamiento)</t>
  </si>
  <si>
    <t>Sopladora de hojas (Arrendamiento)</t>
  </si>
  <si>
    <t>Sonda para inodoro (Arrendamiento)</t>
  </si>
  <si>
    <t>Guadañas (Arrendamiento)</t>
  </si>
  <si>
    <t>SEDE 1 - MANZANA LIEVANO - ALCALDÍA MAYOR</t>
  </si>
  <si>
    <t xml:space="preserve">SEDE 2- DIRECCIÓN DISTRITAL DE ARCHIVO DE  BOGOTA </t>
  </si>
  <si>
    <t>SEDE 3 - IMPRENTA DISTRITAL</t>
  </si>
  <si>
    <t xml:space="preserve">SEDE 4 - SEDE ALTERNA RESTREPO </t>
  </si>
  <si>
    <t xml:space="preserve">SEDE 5 - SUPERCADE CAD CARRERA </t>
  </si>
  <si>
    <t xml:space="preserve">SEDE 6 - SUPERCADE AMERICAS </t>
  </si>
  <si>
    <t xml:space="preserve">SEDE 7 - SUPERCADE BOSA </t>
  </si>
  <si>
    <t xml:space="preserve">SEDE 8 - SUPERCADE CALLE 13 </t>
  </si>
  <si>
    <t xml:space="preserve">SEDE 9 - SUPERCADE 20 DE JULIO </t>
  </si>
  <si>
    <t xml:space="preserve">SEDE 10 - SUPERCADE MANITAS </t>
  </si>
  <si>
    <t xml:space="preserve">SEDE 11 - SUPERCADE SUBA </t>
  </si>
  <si>
    <t>SEDE 12 - SUPERCADE SOCIAL</t>
  </si>
  <si>
    <t xml:space="preserve">SEDE 13 - CADE SERVITA </t>
  </si>
  <si>
    <t xml:space="preserve">SEDE 14 - CADE LA VICTORIA </t>
  </si>
  <si>
    <t xml:space="preserve">SEDE 15 - CADE LA GAITANA </t>
  </si>
  <si>
    <t xml:space="preserve">SEDE 16 - SUPERCADE ENGATIVA </t>
  </si>
  <si>
    <t xml:space="preserve">SEDE 17 - CADE LOS LUCEROS </t>
  </si>
  <si>
    <t xml:space="preserve">SEDE 18 - CENTRO DE MEMORIA, PAZ Y RECONCILIACIÓN </t>
  </si>
  <si>
    <t xml:space="preserve">SEDE 19 - CENTRO DE ENCUENTRO BOSA </t>
  </si>
  <si>
    <t xml:space="preserve">SEDE 20 - CENTRO DE ENCUENTRO CHAPINERO </t>
  </si>
  <si>
    <t xml:space="preserve">SEDE 21 - CENTRO DE ENCUENTRO CIUDAD BOLIVAR </t>
  </si>
  <si>
    <t xml:space="preserve">SEDE 22 - CENTRO DE ENCUENTRO KENNEDY PATIO BONITO </t>
  </si>
  <si>
    <t xml:space="preserve">SEDE 23 - CENTRO DE ENCUENTRO RAFAEL URIBE </t>
  </si>
  <si>
    <t xml:space="preserve">SEDE 24 - CENTRO DE ENCUENTRO SUBA </t>
  </si>
  <si>
    <t>SEDE 25 - SEDE ALTERNA TEQUENDAMA</t>
  </si>
  <si>
    <t>TOTAL MES</t>
  </si>
  <si>
    <t>VALOR TOTAL CON IVA Y AIU</t>
  </si>
  <si>
    <t>TOTAL CANTIDADES</t>
  </si>
  <si>
    <t>STIVEN</t>
  </si>
  <si>
    <t>Item</t>
  </si>
  <si>
    <t>Servicio</t>
  </si>
  <si>
    <t>CANTIDAD</t>
  </si>
  <si>
    <t>Operario de aseo y cafetería</t>
  </si>
  <si>
    <t>Operario de mantenimiento</t>
  </si>
  <si>
    <t>Operario auxiliar</t>
  </si>
  <si>
    <t>Jardinero</t>
  </si>
  <si>
    <t>Coordinador de tiempo completo</t>
  </si>
  <si>
    <t>TOTAL</t>
  </si>
  <si>
    <t>Precio Unitario con Descuento</t>
  </si>
  <si>
    <t>Máximo a pagar Mensual</t>
  </si>
  <si>
    <t>OBSERVACIONES</t>
  </si>
  <si>
    <t>TOTAL MES A PAGAR INCLUIDO IVA y AIU</t>
  </si>
  <si>
    <t>VALOR TOTAL SIN IVA Y AIU</t>
  </si>
  <si>
    <t>NOVOA</t>
  </si>
  <si>
    <t>CRISTINA</t>
  </si>
  <si>
    <t>Etiquetas de fila</t>
  </si>
  <si>
    <t>Total general</t>
  </si>
  <si>
    <t>Suma de SEDE 1 - MANZANA LIEVANO - ALCALDÍA MAYOR</t>
  </si>
  <si>
    <t xml:space="preserve">Suma de SEDE 2- DIRECCIÓN DISTRITAL DE ARCHIVO DE  BOGOTA </t>
  </si>
  <si>
    <t>Suma de SEDE 3 - IMPRENTA DISTRITAL</t>
  </si>
  <si>
    <t xml:space="preserve">Suma de SEDE 4 - SEDE ALTERNA RESTREPO </t>
  </si>
  <si>
    <t xml:space="preserve">Suma de SEDE 5 - SUPERCADE CAD CARRERA </t>
  </si>
  <si>
    <t xml:space="preserve">Suma de SEDE 6 - SUPERCADE AMERICAS </t>
  </si>
  <si>
    <t xml:space="preserve">Suma de SEDE 7 - SUPERCADE BOSA </t>
  </si>
  <si>
    <t xml:space="preserve">Suma de SEDE 8 - SUPERCADE CALLE 13 </t>
  </si>
  <si>
    <t xml:space="preserve">Suma de SEDE 9 - SUPERCADE 20 DE JULIO </t>
  </si>
  <si>
    <t xml:space="preserve">Suma de SEDE 10 - SUPERCADE MANITAS </t>
  </si>
  <si>
    <t xml:space="preserve">Suma de SEDE 11 - SUPERCADE SUBA </t>
  </si>
  <si>
    <t>Suma de SEDE 12 - SUPERCADE SOCIAL</t>
  </si>
  <si>
    <t xml:space="preserve">Suma de SEDE 13 - CADE SERVITA </t>
  </si>
  <si>
    <t xml:space="preserve">Suma de SEDE 14 - CADE LA VICTORIA </t>
  </si>
  <si>
    <t xml:space="preserve">Suma de SEDE 15 - CADE LA GAITANA </t>
  </si>
  <si>
    <t xml:space="preserve">Suma de SEDE 16 - SUPERCADE ENGATIVA </t>
  </si>
  <si>
    <t xml:space="preserve">Suma de SEDE 17 - CADE LOS LUCEROS </t>
  </si>
  <si>
    <t xml:space="preserve">Suma de SEDE 18 - CENTRO DE MEMORIA, PAZ Y RECONCILIACIÓN </t>
  </si>
  <si>
    <t xml:space="preserve">Suma de SEDE 19 - CENTRO DE ENCUENTRO BOSA </t>
  </si>
  <si>
    <t xml:space="preserve">Suma de SEDE 20 - CENTRO DE ENCUENTRO CHAPINERO </t>
  </si>
  <si>
    <t xml:space="preserve">Suma de SEDE 21 - CENTRO DE ENCUENTRO CIUDAD BOLIVAR </t>
  </si>
  <si>
    <t xml:space="preserve">Suma de SEDE 22 - CENTRO DE ENCUENTRO KENNEDY PATIO BONITO </t>
  </si>
  <si>
    <t xml:space="preserve">Suma de SEDE 23 - CENTRO DE ENCUENTRO RAFAEL URIBE </t>
  </si>
  <si>
    <t xml:space="preserve">Suma de SEDE 24 - CENTRO DE ENCUENTRO SUBA </t>
  </si>
  <si>
    <t>Suma de SEDE 25 - SEDE ALTERNA TEQUENDAMA</t>
  </si>
  <si>
    <t>O21202020080585330 Servicios de limpieza general</t>
  </si>
  <si>
    <t>Subtotal</t>
  </si>
  <si>
    <t>Servicio de Personal</t>
  </si>
  <si>
    <t>Insumos de aseo y Cafetería y maquinaria</t>
  </si>
  <si>
    <t>MARZO</t>
  </si>
  <si>
    <t>FACTURADO</t>
  </si>
  <si>
    <t>MÁXIMO</t>
  </si>
  <si>
    <t>FALTA PERSONAL</t>
  </si>
  <si>
    <t>IVA19%</t>
  </si>
  <si>
    <t>VALIDACIÓN</t>
  </si>
  <si>
    <t>DIFERENCIA</t>
  </si>
  <si>
    <t>MATALLANA</t>
  </si>
  <si>
    <t>MONROY</t>
  </si>
  <si>
    <t>ASCENCION</t>
  </si>
  <si>
    <t>GREGORIO</t>
  </si>
  <si>
    <t>SUSAN</t>
  </si>
  <si>
    <t>VANEGAS</t>
  </si>
  <si>
    <t>BOLIVAR</t>
  </si>
  <si>
    <t>MOSQUERA</t>
  </si>
  <si>
    <t>GIOVANNI</t>
  </si>
  <si>
    <t>SANABRIA</t>
  </si>
  <si>
    <t>CANCELADO</t>
  </si>
  <si>
    <t>GONZALO</t>
  </si>
  <si>
    <t>ALBERTO</t>
  </si>
  <si>
    <t>CAPERA</t>
  </si>
  <si>
    <t>FAJARDO</t>
  </si>
  <si>
    <t>RIOS</t>
  </si>
  <si>
    <t>VENECIA</t>
  </si>
  <si>
    <t>MAYRE</t>
  </si>
  <si>
    <t>NIDIA</t>
  </si>
  <si>
    <t xml:space="preserve">MARTIN </t>
  </si>
  <si>
    <t>CALDERON</t>
  </si>
  <si>
    <t>GARAVITO</t>
  </si>
  <si>
    <t>RICHARD</t>
  </si>
  <si>
    <t xml:space="preserve">Especificación </t>
  </si>
  <si>
    <t xml:space="preserve">Presentación </t>
  </si>
  <si>
    <t>Cantidad Mensual</t>
  </si>
  <si>
    <t>Precio unitario</t>
  </si>
  <si>
    <t>Precio Mínimo</t>
  </si>
  <si>
    <t>Descuento sobre precio mínimo</t>
  </si>
  <si>
    <t>Descuento %</t>
  </si>
  <si>
    <t>Total</t>
  </si>
  <si>
    <t xml:space="preserve"> Con agente(s) tensoactivo(s) principal(es) con efecto limpiador y desengrasante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</si>
  <si>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Líquido, en recipiente plástico con capacidad mínima de 3.785 ml</t>
  </si>
  <si>
    <t>Composición de ácidos grasos de mínimo 50%.
 Debe contener concentraciones de fósforo iguales o inferiores a 0.65% de fósforo (Resolución 0689 de 2016)</t>
  </si>
  <si>
    <t>Barra, unidad con peso mínimo de 250 g en
envoltura individual</t>
  </si>
  <si>
    <t>Con agente(s) tensoactivo(s) pincipal(es) con efecto limpiador, pulidor y desengrasante
 Con agente activo mínimo del 5%
 Debe contener concentraciones de fósforo iguales o inferiores a 0.65% de fósforo (Resolución 0689 de 2016)</t>
  </si>
  <si>
    <t>En polvo, en tarro de mínimo 500 g</t>
  </si>
  <si>
    <t xml:space="preserve"> Con agente limpiador en una concentración mínima del 6%
 Con agente humectante en una concentración mínima del 3%
 pH entre 5,5 a 7
 Disponible en mínimo (2) dos fragancias
 Debe contener concentraciones de fósforo iguales o inferiores a 0.65% de fósforo (Resolución 0689 de 2016)</t>
  </si>
  <si>
    <t xml:space="preserve"> Con agente(s) tensoactivo(s) principal(es) con efecto limpiador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</si>
  <si>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Líquido, en recipiente plástico con capacidad mínima de 3.785 ml </t>
  </si>
  <si>
    <t>Con agente(s) tensoactivo(s) principal(es) con efecto limpiador y desengrasante en una concentración mínima del 10%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</si>
  <si>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 xml:space="preserve">Con agente tensoactivo de mínimo 60% de biodegradabilidad
Con efecto limpiador de mínimo 9%.
 Elenvase del producto deberá estar correctamente etiquetado bajo los parámetros: nombre comercial del producto, pictogramas de los compuestos peligrosos e instrucciones de uso
 Debe contener concentraciones de fósforo iguales o inferiores a 0.65% de fósforo (Resolución 0689 de 2016)
</t>
  </si>
  <si>
    <t>Polvo, en bolsa plástica o recipiente plástico
con un peso de 1.000 g</t>
  </si>
  <si>
    <t>Con agentes bactericidas, fungicidas, tubercolicidas, esporicidas y virucidas.
Sin fragacia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</si>
  <si>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3.785 ml</t>
  </si>
  <si>
    <t xml:space="preserve"> Con agentes bactericidas, fungicidas y virucidas.</t>
  </si>
  <si>
    <t>Unidad con peso mínimo de 45 g</t>
  </si>
  <si>
    <t xml:space="preserve"> Con agente(s) principal(es) con efecto limpiador y desengrasante en una concentración mínima del 4%
 Disponible mínimo en dos (2) fragancias
El envase debe estarcorrectamente etiquetados bajo los parámetros establecidos en el sistema globalmente armonizado indicando: nombre comercial del producto, pictogramas de los compuestos peligrosos e instrucciones de uso</t>
  </si>
  <si>
    <t xml:space="preserve"> Solución con una concentración mínima del 5%
Elenvase del producto deberá estar correctamente etiquetado, indicando: nombre comercial del producto, pictogramas de los compuestos peligrosos e instrucciones de uso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</si>
  <si>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Polimérica autobrillante.
 Con polímeros acrílicos, nivelantes y plastificantes.
 Neutra (para pisos de todos los colores)
 Contenido mínimo de sólidos del 10%</t>
  </si>
  <si>
    <t xml:space="preserve"> Polimérico autobrillante.
 Con polímeros acrílicos, nivelantes y plastificantes.
 Contenido mínimo de sólidos del 20%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</si>
  <si>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Polimérico autobrillante.
 Con polímeros acrílicos, nivelantes y plastificantes.
 Contenido mínimo de sólidos del 8%</t>
  </si>
  <si>
    <t>Líquido, en recipiente
plástico con capacidad mínima de 3.785 ml</t>
  </si>
  <si>
    <t xml:space="preserve"> Con agente activo alcalino en una concentración mínima del 9%
 pH entre 11 y 14</t>
  </si>
  <si>
    <t>Jabón multiusos
PH Neutro, 
No corrosivo ni tóxico
 Debe contener concentraciones de fósforo iguales o inferiores a 0.65% de fósforo (Resolución 0689 de 2016)</t>
  </si>
  <si>
    <t xml:space="preserve"> Solución con agentes desinfectantes, desmanchadores y desengrasantesen concentración mínima del 15%.
 Biodegradable mínimo en un 95%</t>
  </si>
  <si>
    <t xml:space="preserve"> Solución con alcohol etílico y solventes.
 Con fragancia en una concentración del 1,5%
 En múltiples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</si>
  <si>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Solución con alcohol etílico y solventes.
 Con fragancia en una concentración del 1,5%
 En múltiples fragancias
 libre de CFC
Envase correctamente etiquetado bajo los parámetros establecidos indicando: nombre comercial del producto, pictogramas de los compuestos peligrosos e instrucciones de uso.
 Elaborado en material reciclable</t>
  </si>
  <si>
    <t>Líquido, en aerosol seguro para la capa de ozono con capacidad mínima de 400 ml</t>
  </si>
  <si>
    <t xml:space="preserve"> Para eliminar insectos rastreros.
Con acción residual hasta por 4 semanas o de larga duración
 Sin fuertes olores químicos
 Libre de CFC
Elenvase del producto deberá estar correctamente etiquetado, indicando: nombre comercial del producto, pictogramas de los compuestos peligrosos e instrucciones de uso</t>
  </si>
  <si>
    <t>Líquido, en aerosol seguro para la capa de ozono con capacidad
mínima de 350 ml</t>
  </si>
  <si>
    <t xml:space="preserve"> Para eliminar insectos voladores
Con acción residual hasta por 4 semanas o de larga duración
 Sin fuertes olores químicos
 Libre de CFC
Elenvase del producto deberá estar correctamente etiquetado, indicando: nombre comercial del producto, pictogramas de los compuestos peligrosos e instrucciones de uso</t>
  </si>
  <si>
    <t xml:space="preserve"> En tela de toalla fileteada
 Color blanco sin estampado
 Tamaño mínimo de 45cm de largo por 45cm de ancho.</t>
  </si>
  <si>
    <t>Unidad</t>
  </si>
  <si>
    <t xml:space="preserve"> En tela de toalla fileteada
 Color blanco sin estampado
Tamaño mínimo de 100 cm de largo por 70 cm de ancho</t>
  </si>
  <si>
    <t xml:space="preserve"> En tela fileteada
 Color blanco sin estampado
 Tamaño mínimo de 45 cm de largo por 45 cm de ancho</t>
  </si>
  <si>
    <t xml:space="preserve"> En tela fileteada
 Color blanco sin estampado
Tamaño mínimo de 100 cm de largo por 70 cm de ancho</t>
  </si>
  <si>
    <t xml:space="preserve"> En tela tipo galleta fileteada
 Color blanco o beige sin estampado
Tamaño mínimo de 100 cm de largo por 70 cm de ancho</t>
  </si>
  <si>
    <t>En tela fileteada
 100% algodón y fibra natural 
 Color blanco sin estampado
Tamaño mínimo de 100 cm de largo por 70 cm de ancho</t>
  </si>
  <si>
    <t>En tela fileteada
100% algodón y fibra natural 
Color rojo sin estampado
 Tamaño mínimo de 100 cm de largo por 70 cm de ancho</t>
  </si>
  <si>
    <t xml:space="preserve"> Retira el polvo sin dejar residuos ni pelusas
 Antibacterial reutilizable
 Tela con microporos
 Tamaño mínimo de 60 cm de largo por 33 cm de ancho</t>
  </si>
  <si>
    <t>Paquete X 6 unidades</t>
  </si>
  <si>
    <t xml:space="preserve"> Retira el polvo sin dejar residuos ni pelusas
 Antibacterial reutilizable
 Tela con microporos
 Tamaño mínimo de 25 cm de largo por 45 cm de ancho</t>
  </si>
  <si>
    <t>Rollo X 40 unidades</t>
  </si>
  <si>
    <t xml:space="preserve"> Espuma enmallada
 Tamaño mínimo de 7 cm de largo por 10 cm de ancho</t>
  </si>
  <si>
    <t xml:space="preserve"> Doble uso (material de esponjilla blanda y abrasiva)
 Tamaño mínimo de 7 cm de largo por 10 cm de ancho
 No debe contener PVC o Poliestireno expandido u otros plásticos de un solo uso tanto en el envase como en el embalaje</t>
  </si>
  <si>
    <t xml:space="preserve"> Abrasiva
 Tamaño mínimo de 9 cm de largo por 12 cm de</t>
  </si>
  <si>
    <t xml:space="preserve"> Elaborada con fibra de acero inoxidable para dar brillo
 Tamaño mínimo de 5 cm de largo por 5 cm de ancho</t>
  </si>
  <si>
    <t xml:space="preserve"> Elaborada con alambre de acero inoxidable
 Tamaño mínimo de 7 cm de largo por 10 cm de ancho</t>
  </si>
  <si>
    <t xml:space="preserve"> Cerdas suaves elaboradas con PET calibre entre 0,3 y 0,4 mm.
 Área de barrido mínima de 25 cm de largo por 8 cm de ancho por 10 cm de alto
 Material de base en plástico con acople tipo rosca
</t>
  </si>
  <si>
    <t xml:space="preserve"> Cerdas duras elaboradas con PET calibre entre 0,4 y 0,6 mm.
 Área de barrido mínima de 25 cm de largo por 8 cm de ancho por 10 cm de alto
 Material de base en plástico con acople tipo rosca
</t>
  </si>
  <si>
    <t xml:space="preserve"> Cerdas suaves elaboradas con PET calibre entre 0,3 y 0,4 mm.
 Área de barrido mínima de 35 cm de largo por 8 cm de ancho por 10 cm de alto
 Material de base en plástico con acople tipo rosca
</t>
  </si>
  <si>
    <t xml:space="preserve"> Cerdas duras elaboradas con PET calibre entre 0,4 y 0,6 mm.
 Área de barrido mínima de 35 cm de largo por 8 cm de ancho por 10 cm de alto
 Material de base en plástico con acople tipo rosca
</t>
  </si>
  <si>
    <t xml:space="preserve"> Extensión mínima de 140 cm
 Acople plástico o rosca para palos de escoba
 </t>
  </si>
  <si>
    <t xml:space="preserve"> Para pisos
 Cuerpo elaborado en plástico
 Cerdas duras en fibra plástica
 Tamaño mínimo de 23 cm de largo por 6 cm de ancho por 7 cm de alto.
 Mango metálico con una extensión mínima de
140 cm</t>
  </si>
  <si>
    <t xml:space="preserve"> Para pisos
 Cuerpo elaborado en plástico
 Cerdas duras en fibra plástica
 Tamaño mínimo de 35 cm de largo por 6 cm de ancho por 7 cm de alto.
 Mango metálico con una extensión mínima de
140 cm</t>
  </si>
  <si>
    <t xml:space="preserve">Elaborado con hilaza de algodón natural
Mecha con peso mínimo 250 gr y extensión mínima de 32 cm delargo
Material de base en plástico con acople tipo rosca
</t>
  </si>
  <si>
    <t xml:space="preserve"> Elaborado con hilaza de algodón natural
 Mecha con peso mínimo de 350 gr y extensión mínima de 32 cm de largo
 Material de base en plástico con acople tipo rosca
</t>
  </si>
  <si>
    <t xml:space="preserve"> Elaborado con hilaza de algodón natural
 Mecha con peso mínimo de 435 gr y extensión mínima de 32 cm de largo
 Material de base en plástico con acople tipo rosca</t>
  </si>
  <si>
    <t xml:space="preserve"> Cerdas duras elaboradas en fibras plásticas
 Extensión mínima de las cerdas es de 2,5 cm
 Base y mango elaborados en plástico
 Mango con longitud mínima de 33 cm</t>
  </si>
  <si>
    <t xml:space="preserve"> Para brillo
 Diámetro mínimo de 16 pulgadas
 Rojo o blanco</t>
  </si>
  <si>
    <t xml:space="preserve"> Para remoción
 Diámetro mínimo de 16 pulgadas
 Café o negro</t>
  </si>
  <si>
    <t xml:space="preserve"> Para brillo
 Diámetro mínimo de 20 pulgadas
 Rojo o blanco</t>
  </si>
  <si>
    <t xml:space="preserve"> Para remoción
 Diámetro mínimo de 20 pulgadas
 Café o negro</t>
  </si>
  <si>
    <t xml:space="preserve"> Diámetro mínimo de 20 pulgadas
 Elaborado en hilaza de algodón</t>
  </si>
  <si>
    <t>Paquete de mínimo 6</t>
  </si>
  <si>
    <t xml:space="preserve"> Elaborados en carnaza
 Tallas 7 a 9 o S a XL</t>
  </si>
  <si>
    <t>Par</t>
  </si>
  <si>
    <t xml:space="preserve"> Elaborados en hilaza
 Tallas 7 a 9 o S a XL</t>
  </si>
  <si>
    <t>Rollo con longitud mínima de 20 metros
Doble hoja blanca
Sin fragancia</t>
  </si>
  <si>
    <t>Rollo</t>
  </si>
  <si>
    <t xml:space="preserve"> Rollo con longitud mínima de 250 metros
 Doble hoja blanca
 Sin fragancia</t>
  </si>
  <si>
    <t xml:space="preserve"> Toallas interdobladas, paquete con mínimo 150 unidades
 Doble hoja con un tamaño mínimo de 20 cm de largo por 15 cm de ancho
Hoja color blanco</t>
  </si>
  <si>
    <t xml:space="preserve"> Toallas con precorte
 Rollo con longitud mínima de 100 metros
 Doble hoja con tamaño mínimo de 15 cms de ancho
 Color Blanco
 Sin fragancia</t>
  </si>
  <si>
    <t xml:space="preserve"> Doble hoja
 Color blanco</t>
  </si>
  <si>
    <t>Caja de mínimo 50 unidades</t>
  </si>
  <si>
    <t>Elaborado en cartón 97% biodegradable
Capacidad mínima de 6 oz</t>
  </si>
  <si>
    <t>Paquete de mínimo 50</t>
  </si>
  <si>
    <t>Elaborado en cartón 97% biodegradable
 Capacidad mínima de 9 oz</t>
  </si>
  <si>
    <t>Paquete de mínimo 40 unidades</t>
  </si>
  <si>
    <t xml:space="preserve"> Capacidad mínima de 9 onzas 
 Sin tapa 
 Liso
 Biodegradable y compostable.
 Elaborado en polyboard (cartón)y/ocon la fibra de caña de azúcar o almidón de maíz</t>
  </si>
  <si>
    <t>Paquete de mínimo 50 unidades</t>
  </si>
  <si>
    <t xml:space="preserve"> Mezcladoreselaborados en madera y/o apartir de recursos renovables como la caña de azucar y/o almidón de maíz
 Longitud mínima de 11 cm</t>
  </si>
  <si>
    <t>Paquete de mínimo 500</t>
  </si>
  <si>
    <t xml:space="preserve"> Tipo cafetería
Dobe hoja
 Color blanco
 Dimensiones mínimas de 21,5 cm de largo y 14 cm de ancho
 100% Biodegradable 
 Elaborado a base de papel reciclado no clorado
 No debe contener PVC o Poliestireno expandido u otros plásticos de un solo uso tanto en el envase como en el embalaje.</t>
  </si>
  <si>
    <t>Paquete de mínimo 100 unidades</t>
  </si>
  <si>
    <t xml:space="preserve"> Elaborada en tela
 Para greca
 Capacidad de media libra
 No debe contener PVC o Poliestireno expandido u otros plásticos de un solo uso tanto en el envase como en el embalaje</t>
  </si>
  <si>
    <t xml:space="preserve"> Elaborada en tela
 Para greca
 Capacidad de una 1 libra
 No debe contener PVC o Poliestireno expandido u otros plásticos de un solo uso tanto en el envase como en el embalaje.</t>
  </si>
  <si>
    <t xml:space="preserve"> Elaborado en plástico
 Capacidad mínima de 1 litro</t>
  </si>
  <si>
    <t xml:space="preserve"> 100% café tostado y molido. 
 Tostión media.
 Puntaje en taza mayor o igual a 80 puntos catación SCA y/o Denominación de Origen (Anexo 6)
 Empacada en bolsa de polipropileno aluminizada resistente a la humedad y al oxígeno.
 Debe cumplir con las Resoluciones 333 de 2011 y 2674 de 2013 hasta la entrada en vigencia de la Resolución 810 de 2021 y aquellas que la modifiquen, adicionen o deroguen.</t>
  </si>
  <si>
    <t>Libra</t>
  </si>
  <si>
    <t xml:space="preserve"> No láctea
 Debe cumplir con Resolución 333 de 2011 sobre rotulado y etiquetado nutricional y las normas que la modifiquen</t>
  </si>
  <si>
    <t>Bolsas de mínimo 100 sobres de mínimo 4 g</t>
  </si>
  <si>
    <t xml:space="preserve"> Blanca
 Empaque elaborado en materiales atóxicos
 Debe cumplir con Resolución 333 de 2011 sobre rotulado y etiquetado nutricional y las normas que la modifiquen</t>
  </si>
  <si>
    <t>Bolsa de mínimo 200 sobres o tubipacks de 5 g</t>
  </si>
  <si>
    <t xml:space="preserve"> Para infusión
 Cajas disponbiles en mínimo tres (3) sabores
 100% naturales</t>
  </si>
  <si>
    <t>Cajas de mínimo 20 en sobres.</t>
  </si>
  <si>
    <t>Caja x 20 mínimo sobres</t>
  </si>
  <si>
    <t>Para infusión
100% naturales
Sabores surtidos</t>
  </si>
  <si>
    <t xml:space="preserve"> Agua potable potable purificada</t>
  </si>
  <si>
    <t>Botellón de mínimo 18.9 L</t>
  </si>
  <si>
    <t xml:space="preserve"> Mopa elaborada en algodón
 Área de barrido mínima de 100 cm de largo por 16cm de ancho
 Armazón y mango metálico</t>
  </si>
  <si>
    <t xml:space="preserve"> Mopa elaborada en algodón
 Área de barrido mínima de 60 cm de largo por 16cm de ancho
 Armazón y mango metálico</t>
  </si>
  <si>
    <t xml:space="preserve"> Mopa elaborada en algodón
 Área de barrido mínima de 100 cm de largo por 16 cm de ancho</t>
  </si>
  <si>
    <t xml:space="preserve"> Mopa elaborada en algodón
 Área de barrido mínima de 60 cm de largo por 16 cm de ancho</t>
  </si>
  <si>
    <t xml:space="preserve"> Tipo campana
 Chupa elaborada en caucho
 Diámetro mínimo de 12 cm
 Mango elaborado en madera
 Mango con longitud mínima de 33 cm</t>
  </si>
  <si>
    <t xml:space="preserve"> Elaborado en plástico
 Con banda de goma y dientas barrescobas
 Mango con longitud mínima de 70 cm</t>
  </si>
  <si>
    <t xml:space="preserve"> Elaborado en plástico
 Reutilizable
 Capacidad mínima de 500 cc
 con pistola</t>
  </si>
  <si>
    <t xml:space="preserve"> Elaborado en vidrio
 Cilíndrico
 Capacidad mínima de 9 oz</t>
  </si>
  <si>
    <t>Pocillo y plato de porcelana blanca para café.
 Sin diseño
 Plato de mínimo 12 cm de diámetro y pocillo de mínimo 150 cc
 No se debe rayar con el uso de los cubiertos y
debe ser apta para uso en horno microondas.</t>
  </si>
  <si>
    <t>Juego</t>
  </si>
  <si>
    <t xml:space="preserve"> Para limpiar vidrios
 Con banda de goma con longitud mínima de 50 cm.
 Mango metálico extensible con longitud mínima
de 60 cm y máxima de 150 cm</t>
  </si>
  <si>
    <t xml:space="preserve"> Para escurrir pisos
Con banda de goma con longitud mínima de 50 cm.</t>
  </si>
  <si>
    <t xml:space="preserve"> Capacidad mínima de 10 litros
 Con manija móvil
 Con "pico" antiderrames
 Disponibles en diferentes colores
 Elaborado en material reciclable
 Marcado de acuerdo con la norma ISO 11469 y ISO 1043. </t>
  </si>
  <si>
    <t xml:space="preserve"> Elaborada en acero inoxidable
 Sin diseño
 Dimensiones mínimas de 37 cm de largo por 27 cm de ancho</t>
  </si>
  <si>
    <t xml:space="preserve"> Elaborada en acero inoxidable
 Sin diseño
 Dimensiones mínimas de 50 cm de largo por 33 cm de ancho</t>
  </si>
  <si>
    <t xml:space="preserve"> Elaborada en aluminio
 Capacidad mínima de 2 litros</t>
  </si>
  <si>
    <t xml:space="preserve"> Elaborada en aluminio
 Con tapa en aluminio
 Capacidad mínima de 5 litros</t>
  </si>
  <si>
    <t>Metálico
 Plegable</t>
  </si>
  <si>
    <t xml:space="preserve"> Elaborado en plástico
 Capacidad mínima de 35 litros
 Con cuatro ruedas y manija de escurridor</t>
  </si>
  <si>
    <t xml:space="preserve"> Elaborado en plástico
 Mínimo dos estantes para distribución de bebidas
 Tamaño mínimo de 80 cm de largo por 47 cm de ancho por 90 cm de alto</t>
  </si>
  <si>
    <t>Cuerpo Metálico
 Altura mínima demínimo dos pasos.</t>
  </si>
  <si>
    <t>Cuerpo en aluminio, tipo tijera
 Altura mínima de 5 escalones
 Con capacidad de resistencia a una carga concentrada en cualquier punto del escalón de 127 kg
 Con tapones de caucho antideslizantes</t>
  </si>
  <si>
    <t xml:space="preserve"> Longitud mínima de 30 metros
 Elaborada en PVC
 Con terminales roscadas en ambos extremos
 Incluye accesorios: acoples y pistola</t>
  </si>
  <si>
    <t xml:space="preserve"> Longitud mínima de 50 metros
 Elaborada en PVC
 Con terminales roscadas en ambos extremos
 Incluye accesorios: acoples y pistola</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</si>
  <si>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</si>
  <si>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con techo en material metálico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</si>
  <si>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100 litros para cada contenedor
 Contenedores elaborados en plástico
 Debe cumplir con lo estipualdo en el artíuclo 4° de la Resolución 2184 del 26 de diciembre de 2019</t>
  </si>
  <si>
    <t xml:space="preserve"> Elaborado en plástico
 Tipo tijera, plegable
 Tamaño mínimo de 25 cm de ancho por 60 cm de alto por 22 cm de largo.
 Impresión en las dos caras con las palabras "Piso húmedo o "Piso mojado"".
 Color amarillo
 Acordes con la reglamentación establecida por la NTC 1461</t>
  </si>
  <si>
    <t xml:space="preserve"> Elaborado en acero inoxidable
 Para rollo de 250 metros y 400 metros
 Con visor para ver el estado del rollo
 Con cerradura y llave
 Incluye los elementos necesarios para realizar la instalación en pared
Incluye el costo de instalación.</t>
  </si>
  <si>
    <t xml:space="preserve"> Elaborado en acero inoxidable
 Para toallas de papel interdobladas con capacidad mínima de 300 toallas
 Con mecanismo para halar con la mano.
 Con cerradura y llave
 Incluye los elementos necesarios para realizar la instalación en pared
Incluye el costo de instalación</t>
  </si>
  <si>
    <t xml:space="preserve"> Elaborado en acero inoxidable
 Con válvula manual anticorrosiva.
 Uso habilitado para cualquier jabón líquido con capacidad mínima de 800 ml
 Con cerradura y llave
 Incluye los elementos necesarios para realizar la instalación en pared
 Incluye el el costo de instalación'</t>
  </si>
  <si>
    <t xml:space="preserve"> Elaborado en PVC blanco
 Goteo programable para desodorizar sanitarios y orinales
 Incluye manguera plástica de goteo
 Incluye los elementos necesarios para realizar la instalación en pared
 Incluye líquido para recarga mensual con agentes tensoactivos</t>
  </si>
  <si>
    <t xml:space="preserve"> Eléctrica de 110 v
 Cuerpo elaborada en lámina de acero inoxidable de calibre 24 como mínimo, grado alimento
 Resistencias elaboradas en cobre
 Terminales elaboradas en cobre remplazables sin soldadura
 Mínimo 2 servicios
 Con su respectivo filtro y aro
 Con capacidad para 60 tintos</t>
  </si>
  <si>
    <t xml:space="preserve"> Eléctrica de 110 v
 Cuerpo elaborada en lámina de acero inoxidable de calibre 24 como mínimo, grado alimento
 Resistencias elaboradas en cobre
 Terminales elaboradas en cobre remplazables sin soldadura
 Mínimo dos servicios
 Con su respectivo filtro y aro
Con capacidad para 120 tintos</t>
  </si>
  <si>
    <t xml:space="preserve"> Potencia mínima de 1000 w
 Tamaño mínimo de 30 cm de ancho por 30 cm de alto por 40 cm de profundidad.
 Descongelamiento automático
 Con programas automáticos</t>
  </si>
  <si>
    <t xml:space="preserve"> De dos puestos
 Lámina esmaltada
 Eléctrica
 Con perilla para graduar mínimo 3 niveles de calor</t>
  </si>
  <si>
    <t xml:space="preserve"> De uso industrial para aspirado en seco y húmedo
 Motor con potencia entre 1200 w y 1400 w
 Capacidad entre 45 y 55 litros
 Cable de potencia con longitud mínima de 5m
 Accesorios mínimos: manguera puntera, 2 tubos para extensión, cepillos para tapizados</t>
  </si>
  <si>
    <t xml:space="preserve"> De uso industrial
 Motores con potencia mínima de 1,5 hp y velocidad mínima de 175 rpm.
 Con manijas dobles
 Con interruptor de apagado de seguridad
 Diámetro mínimo de 16"
 Cable de potencia con longitud mínima de 8m
 Accesorios mínimos portapad, cepillo suave y duro</t>
  </si>
  <si>
    <t xml:space="preserve">Unidad </t>
  </si>
  <si>
    <t xml:space="preserve"> De uso industrial
 Motores con potencia mínima de 1,5 hp y velocidad mínima de 175 rpm.
 Con manijas dobles
 Con interruptor de apagado de seguridad
 Diámetro mínimo de 20"
 Cable de potencia con longitud mínima de 8m
 Accesorios mínimos portapad, cepillo suave y duro</t>
  </si>
  <si>
    <t xml:space="preserve"> De uso industrial
 Motores con potencia mínima de 1,5 hp y velocidad mínima de 1500 rpm.
 Con manijas dobles
 Con interruptor de apagado de seguridad
 Diámetro mínimo de 20"
 Cable de potencia con longitud mínima de 8m
 Accesorios mínimosportapad</t>
  </si>
  <si>
    <t>Motor con potencia de mínimo 1100 w y velocidad mínima de 175 revoluciones por minuto.
 Capacidad mínima de 5 litros
 Cable de potencia con longitud mínima de 8m
 Para lavar en seco o a vapor
 Diámetro mínimo de 16"</t>
  </si>
  <si>
    <t>Motor eléctrico y potencia de mínimo 2.2 Kw1.450 RPM y entre 2.5 HP y 3.5 HP.
Presión de salida de agua entre 900 psi y 1900 psi.
Con ruedas</t>
  </si>
  <si>
    <t>Potenciado por motor a gasolina o eléctrico inalámbrico
Caudal mínimo de 380 cfm / 645m3/h
Autonomía mínima de 30 minutos
Intensidad máxima de sonido de 100dB
Incluye combustible para su funcionamiento (Máximo 3 galones)</t>
  </si>
  <si>
    <t>Sonda de mínimo 3''
Cubierta de vinilo para proteger la porcelana.
 Cable de 1/2" (12,7 mm) con núcleo interno recubierto por compresión, resistente al retorcimiento.
Mangos grandes y de diseño ergonómico.
Funcional en inodoros ahorradores de agua
Peso entre 1,9 kg y 2,5 kg</t>
  </si>
  <si>
    <t xml:space="preserve"> Guadaña de Eje Rígido
Viene cilindrada con apróximadamente 30 a 51,6 cm3.
Peso promedio entre 6,5 Kg y 7,7 Kg.
Cuchilla de 80 puntas
Capacidad del tanque de combustible entre 0,65 Lt y 1 Lt.
Cuenta con un sistema de arranque manual.
Cuenta con un sistema de ignición electrónico
Incluye el combustible para su funcioamiento (Máximo 3 galones)</t>
  </si>
  <si>
    <t>ABRIL</t>
  </si>
  <si>
    <t>MAYO</t>
  </si>
  <si>
    <t>PERSONAL</t>
  </si>
  <si>
    <t>VALOR SIN IVA - AIU</t>
  </si>
  <si>
    <t>* 6 meses</t>
  </si>
  <si>
    <t>arrendamiento</t>
  </si>
  <si>
    <t>compra</t>
  </si>
  <si>
    <t>Abril</t>
  </si>
  <si>
    <t>Marzo</t>
  </si>
  <si>
    <r>
      <t xml:space="preserve">Paquete de mínimo 6
</t>
    </r>
    <r>
      <rPr>
        <b/>
        <sz val="10"/>
        <rFont val="Arial"/>
        <family val="2"/>
      </rPr>
      <t>contratadas</t>
    </r>
  </si>
  <si>
    <t>Bolsas plásticas 21 (Compra)</t>
  </si>
  <si>
    <t>Bolsas plásticas 23 (Compra)</t>
  </si>
  <si>
    <t xml:space="preserve"> De color negro
Tamaño de 40 cm de ancho por 55 cm de largo</t>
  </si>
  <si>
    <t xml:space="preserve"> De color negro
 Tamaño de 60 cm de ancho por 70 cm de largo</t>
  </si>
  <si>
    <t xml:space="preserve"> De color negro
 Tamaño de 70 cm de ancho por 90 cm de largo</t>
  </si>
  <si>
    <t xml:space="preserve"> De color blanco
 Tamaño de 70 cm de ancho por 90 cm de largo</t>
  </si>
  <si>
    <t>De color negro
Tamaño de 80 cm de ancho por 110 cm de largo</t>
  </si>
  <si>
    <t xml:space="preserve"> De color verde
 Tamaño de 80 cm de ancho por 110 cm de largo</t>
  </si>
  <si>
    <t>De color blanco
Tamaño de 80 cm de ancho por 110 cm de largo</t>
  </si>
  <si>
    <t xml:space="preserve"> De color rojo
 Tamaño de 80 cm de ancho por 110 cm de largo
 Con impresión de aviso de riesgo biológico</t>
  </si>
  <si>
    <t>Bolsas plásticas 16 (Compra)</t>
  </si>
  <si>
    <t>De color verde
Tamaño de 70 cm de ancho por 90 cm de largo</t>
  </si>
  <si>
    <t>De color verde
Tamaño de 40 cm de ancho por 55 cm de largo</t>
  </si>
  <si>
    <r>
      <t xml:space="preserve">Paquete de mínimo 6
</t>
    </r>
    <r>
      <rPr>
        <b/>
        <sz val="10"/>
        <rFont val="Arial"/>
        <family val="2"/>
      </rPr>
      <t xml:space="preserve">contratadas - </t>
    </r>
    <r>
      <rPr>
        <b/>
        <sz val="10"/>
        <color rgb="FFFF0000"/>
        <rFont val="Arial"/>
        <family val="2"/>
      </rPr>
      <t>no pedir</t>
    </r>
  </si>
  <si>
    <t>Rastrillo 1</t>
  </si>
  <si>
    <t>Extensión eléctrica 2</t>
  </si>
  <si>
    <t>Papelera 2</t>
  </si>
  <si>
    <t>Termo para café 2</t>
  </si>
  <si>
    <t>Térmico, con bomba tipo dispensador. Portatil.  
Capacidad mínima de 3 litros</t>
  </si>
  <si>
    <t>Barra dentada plástica con mínimo 18 dientes
Mango metálico  plastificado con longitud mínima de 120 cm</t>
  </si>
  <si>
    <t>Con capacidad mínima de 10 litros
Diseño para baño</t>
  </si>
  <si>
    <t>De mínimo 30 metros de longitud
Calibre 12</t>
  </si>
  <si>
    <t>Mayo</t>
  </si>
  <si>
    <t>PEÑA</t>
  </si>
  <si>
    <t>SEDE 01 - MANZANA LIEVANO - ALCALDÍA MAYOR</t>
  </si>
  <si>
    <t xml:space="preserve">SEDE 02- DIRECCIÓN DISTRITAL DE ARCHIVO DE  BOGOTA </t>
  </si>
  <si>
    <t>SEDE 03 - IMPRENTA DISTRITAL</t>
  </si>
  <si>
    <t xml:space="preserve">SEDE 04 - SEDE ALTERNA RESTREPO </t>
  </si>
  <si>
    <t xml:space="preserve">SEDE 05 - SUPERCADE CAD CARRERA </t>
  </si>
  <si>
    <t xml:space="preserve">SEDE 06 - SUPERCADE AMERICAS </t>
  </si>
  <si>
    <t xml:space="preserve">SEDE 07 - SUPERCADE BOSA </t>
  </si>
  <si>
    <t xml:space="preserve">SEDE 08 - SUPERCADE CALLE 13 </t>
  </si>
  <si>
    <t xml:space="preserve">SEDE 09 - SUPERCADE 20 DE JULIO </t>
  </si>
  <si>
    <t>seguridad social</t>
  </si>
  <si>
    <t>pago nomina</t>
  </si>
  <si>
    <t>dia de pago de nomina</t>
  </si>
  <si>
    <t>el 30/05/2024 por bancolombia</t>
  </si>
  <si>
    <t>davivienda el 30/05/2024</t>
  </si>
  <si>
    <t>banco caja social pero no dice la fecha</t>
  </si>
  <si>
    <t>banco BBVA el 30/05/2024</t>
  </si>
  <si>
    <t>UMAÑA</t>
  </si>
  <si>
    <t>YHON</t>
  </si>
  <si>
    <t>FREDY</t>
  </si>
  <si>
    <t>Bancolombia el 30/05/2024</t>
  </si>
  <si>
    <t>en Bancolombia el 23/05/2024</t>
  </si>
  <si>
    <t>En Davivienda el 23/05/2024</t>
  </si>
  <si>
    <t>JUNIO DE 2024</t>
  </si>
  <si>
    <t>MELO</t>
  </si>
  <si>
    <t>CERON</t>
  </si>
  <si>
    <t>CANTE</t>
  </si>
  <si>
    <t xml:space="preserve">MARIA </t>
  </si>
  <si>
    <t>EUGENIA</t>
  </si>
  <si>
    <t>falta soporte de liquidacion</t>
  </si>
  <si>
    <t xml:space="preserve">Fue trasladada al SUPERCADE CAD CARRERA del SUPERCADE BOSA </t>
  </si>
  <si>
    <t>SABOGAL</t>
  </si>
  <si>
    <t xml:space="preserve">Ingreso   </t>
  </si>
  <si>
    <t>CONSULO</t>
  </si>
  <si>
    <t>CHILA</t>
  </si>
  <si>
    <t>ERMIDES</t>
  </si>
  <si>
    <t>ingreso</t>
  </si>
  <si>
    <t>esta operaria viene del SUPERCADE 20 DE JULIO al SUPERCADE BOSA</t>
  </si>
  <si>
    <t>MUÑOZ</t>
  </si>
  <si>
    <t>FERNEY</t>
  </si>
  <si>
    <t xml:space="preserve">Esta operaria viene del CENTRO DE ENCUENTRO RAFAEL URIBE al SUPERCADE 20 DE JULIO </t>
  </si>
  <si>
    <t xml:space="preserve">Incapacidad 14 y 15 de junio; según la empresa, cubrio Nidia Mendez estos 2 dias </t>
  </si>
  <si>
    <t>Incapacidad del 20/06/2024. Según la empresa, cubrio Diana Calderon</t>
  </si>
  <si>
    <t xml:space="preserve">Del 01 al 23 de junio estuvo en el CENTRO DE ENCUENTRO BOSA; y el 24 de junio paso al SUPERCADE BOSA </t>
  </si>
  <si>
    <t>Del 01 al 23 de junio estuvo en el SUPERCADE BOSA; y el 24 de junio paso al CENTRO DE ENCUENTRO BOSA .</t>
  </si>
  <si>
    <t>NIKOL</t>
  </si>
  <si>
    <t>CAMILO</t>
  </si>
  <si>
    <t>STEBAN</t>
  </si>
  <si>
    <t>Incapacidad el 12 y 13 de junio. Según la empresa, cubre Nidia Mendez</t>
  </si>
  <si>
    <t>EUGENTE</t>
  </si>
  <si>
    <t>Ingreso el 01 de junio; y trabajo hasta el 4 de junio en el CADE La Victoria; y paso a la Manzana Lievano</t>
  </si>
  <si>
    <t>Ingreso el 01 de junio; y trabajo del 01 al 04 de junio en el CADE La Victoria; y el 05 de junio paso a la Manzana Lievano</t>
  </si>
  <si>
    <t xml:space="preserve">Trabajo en manzana lievano del 01 al 04 de junio y el 05 de junio paso al CADE La Victoria </t>
  </si>
  <si>
    <t>BUENDIA</t>
  </si>
  <si>
    <t>ROBERTO</t>
  </si>
  <si>
    <t>LE PAGARON 24 DIAS DE SEGURIDAD SOCIAL DICE INGRESO; PERO LA EMPRESA NO LO RELACIONO</t>
  </si>
  <si>
    <t>YARA</t>
  </si>
  <si>
    <t>LE PAGARON 30 DIAS DE SEGURIDAD SOCIAL; PERO LA EMPRESA NO LO RELACIONO</t>
  </si>
  <si>
    <t>LE PAGARON 30 DIAS DE SEGURIDAD SOCIAL; PERO LA EMPRESA NO LO RELACIONO. ADEMAS, LE PAGARON SOBRE 1.400.000 PORQUE?</t>
  </si>
  <si>
    <t>Se encuentra en incapacidad desde que inicio el contrato por enfermedad general.. Se encontraba en el Archivo Distrital. Ojo QUE NO ME CUADRA EL VALOR DE LA COTIZACION</t>
  </si>
  <si>
    <t>Cubrio el 14 y 15 de junio a SANCHEZ NOVOA GLORIA CRSITINA POR INCAPACIDAD. Falta soporte de seguridad social</t>
  </si>
  <si>
    <t>Cubrio la incapacidad el 12 y 13 de junio de GIRALDO LOPEZ LUZ ESTELLA. Falta soporte de seguridad social</t>
  </si>
  <si>
    <t>El 20/06/2024 cubrio la incapacidad de LADINO ARDILA DAMARIS. Falta soporte de seguridad social</t>
  </si>
  <si>
    <t>Davivienda el 19/06/2024</t>
  </si>
  <si>
    <t>banco de bogota el 28/06/2024</t>
  </si>
  <si>
    <t>banco avvillas el 28/06/2024</t>
  </si>
  <si>
    <t>Davivienda el 28/06/2024</t>
  </si>
  <si>
    <t>davivienda el 28/06/2024</t>
  </si>
  <si>
    <t>Banco de Bogota el 28/06/2024</t>
  </si>
  <si>
    <t>Banco de bogota el 28/06/2024</t>
  </si>
  <si>
    <t>El 28/06/2024 por Bancolombia</t>
  </si>
  <si>
    <t>el 28/06/2024 por bancolombia</t>
  </si>
  <si>
    <t>banco BBVA el 28/06/2024</t>
  </si>
  <si>
    <t>banco scotiabank el 28/06/2024</t>
  </si>
  <si>
    <t>HUERTAS</t>
  </si>
  <si>
    <t>NATALIA</t>
  </si>
  <si>
    <t>CUMPLIDO</t>
  </si>
  <si>
    <t>OK</t>
  </si>
  <si>
    <t>SI</t>
  </si>
  <si>
    <t>SEDE 26 - CADE PATIO BONITO</t>
  </si>
  <si>
    <t>son 30 dias; pero no se puede pagar hasta que no alleguen el cumplido de esta unidad operativa; o que corrigan el cumplido del CD Patio Bonito donde certifiquen las 3 operarias</t>
  </si>
  <si>
    <t>Valor a pagar</t>
  </si>
  <si>
    <t>TOTAL PERSONAL CON AIU E IVA</t>
  </si>
  <si>
    <t>TOTAL INSUMOS Y MAQUINARIA CON AIU E IVA</t>
  </si>
  <si>
    <t>TOTAL A PAGAR</t>
  </si>
  <si>
    <t>Se retiro; y en reemplazo ingreso Luz Angela Melo Ortiz</t>
  </si>
  <si>
    <t>Ingreso en reemplazo de Rosa Elvira Sacristan Gonzalez que se retiro el 11/06/2024</t>
  </si>
  <si>
    <t>incapacidad del 18 y 19 de junio. Nadie cubrio</t>
  </si>
  <si>
    <t>incapacidad del 1/06/2024 cubre Nidia Mendez. OJO QUE NO ENTIENDO COMO LE COTIZARON PORQUE LA BASE NO ME DA</t>
  </si>
  <si>
    <t xml:space="preserve">cubre incapacidad del 1/06/2024 de VELASCO LEDY. Falta soporte de seguridad social. </t>
  </si>
  <si>
    <t>cubre incapacidad del 1/06/2024 de VELASCO LEDY</t>
  </si>
  <si>
    <t xml:space="preserve">calamidad el 26/06/2024 y nadie cubrio. </t>
  </si>
  <si>
    <t>incapacidad el 12 Y 13 de JUNIO; y ausencia el 15 Y 17 de JUNIO y nadie cubrio</t>
  </si>
  <si>
    <t>Calamidad domestica el 06, 07 y 08 de junio; y licencia no remunerada el 11, 12 y 14 de junio. Nadie cubrio, se  pagan 23 dias porque fue lo que le cotizaron y le pagaron</t>
  </si>
  <si>
    <t>Licencia de luto el 5, 6, 7 y 8 de junio; calamidad domestica el 18, 19 y 20 de junio; y licencia no remunerada el 21, 22, 24 y 25 de junio. Nadie cubrio</t>
  </si>
  <si>
    <t>ingreso. Dice que es una operaria auxiliar que ingreso el 01/06/2024; pero el IBC es de $1.300.000; cuando los operarios auxiliares se les cotiza sobre $1.356.000</t>
  </si>
  <si>
    <t>Incapacidad del 04/06/2024 y nadie cubrio</t>
  </si>
  <si>
    <t>Calamidad domestica el 5 y 6 de JUNIO; e incapacidad el 17 y 18 de JUNIO. Nadie cubrio</t>
  </si>
  <si>
    <t>Incapacidad el 7 y 8 de JUNIO y nadie cubrio</t>
  </si>
  <si>
    <t>Ausencia el 17 y 18 de JUNIO y otro dia que no informaron cual. No se cubrio</t>
  </si>
  <si>
    <t>Calamidad del 01/06/2024 y nadie cubrio</t>
  </si>
  <si>
    <t>Incapacidad 4 y 5 de junio y no se cubrio</t>
  </si>
  <si>
    <t>Incapacidad 20 y 21 de junio. Según la empresa, Blanca Camargo la cubrio con 4 horas adicionales y Nohora Alarcón con 4 horas adicionales; y el 21 de junio cubierto por Carolina calderon</t>
  </si>
  <si>
    <t>21 cubrio a LUZ MAYERLY RAMIREZ PALACIOS. Falta soporte de seguridad social</t>
  </si>
  <si>
    <t>21 cubrio a LUZ MAYERLY RAMIREZ PALACIOS</t>
  </si>
  <si>
    <t>Incapacidad el 12, 18 y 19 de JUNIO. Según la empresa, el 12 de junio la cubrio Paola Montoya con 4 horas y el 13 de julio hizo las otras 4 horas. El 18 y 19 la cubrio Carolina Calderon</t>
  </si>
  <si>
    <t>El 18 y 19 de junio cubrio a ANYUL STEFANNY PEREIRA CAMPOS. Falta soporte de seguridad social</t>
  </si>
  <si>
    <t>El 18 y 19 de junio cubrio a ANYUL STEFANNY PEREIRA CAMPOS</t>
  </si>
  <si>
    <t xml:space="preserve">Del 01 al 24 de junio estaba cubriendo al operario de Mantenimiento de la SEDE 06 - SUPERCADE AMERICAS </t>
  </si>
  <si>
    <t>Del 01 al 24 de junio estaba cubriendo al operario de Mantenimiento de la SEDE 06 - SUPERCADE AMERICAS</t>
  </si>
  <si>
    <t>cubrio la renuncia de Diego lesama los dias 7, 8 Y 11 DE JUNIO; pues este señor de mantenimiento renuncio el 31/05/2024. OJO que sugen cubriendo a operarios de mantenimieto con supernumerarias. Falta seguridad social y pago de nomina</t>
  </si>
  <si>
    <t>cubrio la renuncia de Diego lesama los dias 7, 8 Y 11 DE JUNIO; pues este señor de mantenimiento renuncio el 31/05/2024</t>
  </si>
  <si>
    <t xml:space="preserve">ingreso para completar los 2 operarias de mantenimiento de la SEDE 06 - SUPERCADE AMERICAS </t>
  </si>
  <si>
    <t>no trabajo 1 dia y no se cubrio</t>
  </si>
  <si>
    <t xml:space="preserve">Este señor se retiro a principios de mes; y por error de la empresa no lo retiraron de la nomina y le pagaran todo el sueldo. La SGAMB no puede asumir este costo. La empresa asume el error </t>
  </si>
  <si>
    <t xml:space="preserve">Del 01 al 23 de junio estuvo en el SUPERCADE BOSA; y el 24 de junio paso al CENTRO DE ENCUENTRO BOSA . Ademas, incapacidad el 17/06/2024 y la empresa dice que cubrio Asencion Matayana; pero del 01 al 24 de junio estaba cubriendo al operario de la SEDE 06 - SUPERCADE AMERICAS mantenimiento </t>
  </si>
  <si>
    <t>Tuvo incapacidad el 17 y 18 de junio pero la empresa dice que cubrió MATALLANA MONROY ACENCION; pero si dijeron que esta operaria cubrió del 01 al 24 de junio a un operario de mantenimiento de la SEDE 06 - SUPERCADE AMERICAS y aparte que el 17 de junio también cubrió a TIVISAY KATERINE ORTIZ ORTEGA</t>
  </si>
  <si>
    <t>Cubrio el 14 y 15 de junio a SANCHEZ NOVOA GLORIA CRSITINA POR INCAPACIDAD</t>
  </si>
  <si>
    <t>Cubrio la incapacidad el 12 y 13 de junio de GIRALDO LOPEZ LUZ ESTELLA</t>
  </si>
  <si>
    <t>Según la empresa cubrio la incapacidad de PORTELA CANIZALES DIANA MILENA el 12, 13  y 14 de junio pero como cubrió si esos mismos días estaba cubriendo a LUZ ESTELLA GIRALDO LOPEZ y a GLORIA CRISTINA SANCHEZ NOVOA. Falta soporte de seguridad social</t>
  </si>
  <si>
    <t>Incapacidad el 12, 13  y 14 de junio. Según la empresa cubrio Nidia Mendez pero como cubrió si esos mismos días estaba cubriendo a LUZ ESTELLA GIRALDO LOPEZ y a GLORIA CRISTINA SANCHEZ NOVOA</t>
  </si>
  <si>
    <t>El 20/06/2024 cubrio la incapacidad de LADINO ARDILA DAMARIS</t>
  </si>
  <si>
    <t>Ausencia el 5 y 6 de JUNIO y no se cubrio Ademas, renuncio y trabajo hasta el 21/06/2024</t>
  </si>
  <si>
    <t>Del 01 al 23 de junio estuvo en el CENTRO DE ENCUENTRO BOSA; y el 24 de junio paso al SUPERCADE BOSA. Ademas, Tuvo incapacidad el 20 y 21 de junio; según la empresa dice que cubrió MATALLANA MONROY ACENCION; pero del 01 al 24 de junio estaba cubriendo al operario de la SEDE 06 - SUPERCADE AMERICAS ¿Cómo cubrio?</t>
  </si>
  <si>
    <t>no trabajo 2 dias y no se cubrio</t>
  </si>
  <si>
    <t>cubrio la licencia del 11 de junio de ROMERO CARO JOHATAN</t>
  </si>
  <si>
    <t>Según la empresa cubrio , cubrio la licencia del 11 de junio de ROMERO CARO JOHATAN; pero estan cubriendo a operarios de mantenimiento con supernumerarias OJO . Falta soporte de seguridad social</t>
  </si>
  <si>
    <t>Licencia no remunerada el 11 de junio. Según la empresa Cubrio Nidia Mendez pero y cual fue el otro dia q no trabajo (porque solo le cotizaron 28 dias)</t>
  </si>
  <si>
    <t>Paso del SUPERCADE CAD CARRERA al CENTRO DE ENCUENTRO RAFAEL URIBE. Ademas, Le cotizaron 28 días sin novedad y 2 días en SLN; por lo que se requiere que se indique que días no trabajo y ¿quién cubrió?b</t>
  </si>
  <si>
    <t>Termo para café 2 (Compra)</t>
  </si>
  <si>
    <t>(en blanco)</t>
  </si>
  <si>
    <t>aiu 10%</t>
  </si>
  <si>
    <t>iva 19%</t>
  </si>
  <si>
    <t>total</t>
  </si>
  <si>
    <t>diferencia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</si>
</sst>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 #,##0.00_-;\-&quot;$&quot;\ * #,##0.00_-;_-&quot;$&quot;\ * &quot;-&quot;??_-;_-@_-"/>
    <numFmt numFmtId="43" formatCode="_-* #,##0.00_-;\-* #,##0.00_-;_-* &quot;-&quot;??_-;_-@_-"/>
    <numFmt numFmtId="164" formatCode="&quot;$&quot;#,##0.00"/>
    <numFmt numFmtId="165" formatCode="0.000000%"/>
    <numFmt numFmtId="166" formatCode="_-&quot;$&quot;\ * #,##0_-;\-&quot;$&quot;\ * #,##0_-;_-&quot;$&quot;\ * &quot;-&quot;??_-;_-@_-"/>
    <numFmt numFmtId="167" formatCode="_-* #,##0_-;\-* #,##0_-;_-* &quot;-&quot;??_-;_-@_-"/>
  </numFmts>
  <fonts count="48">
    <font>
      <sz val="11"/>
      <color theme="1"/>
      <name val="Aptos Narrow"/>
      <family val="2"/>
      <scheme val="minor"/>
    </font>
    <font>
      <sz val="11"/>
      <color theme="1"/>
      <name val="Aptos Narrow"/>
      <family val="2"/>
      <scheme val="minor"/>
    </font>
    <font>
      <sz val="10"/>
      <name val="Verdana   "/>
      <charset val="134"/>
    </font>
    <font>
      <b/>
      <sz val="8"/>
      <color theme="0"/>
      <name val="Arial"/>
      <family val="2"/>
    </font>
    <font>
      <sz val="10"/>
      <name val="Arial"/>
      <family val="2"/>
    </font>
    <font>
      <b/>
      <sz val="8"/>
      <name val="Arial"/>
      <family val="2"/>
    </font>
    <font>
      <b/>
      <sz val="8"/>
      <color rgb="FF7030A0"/>
      <name val="Arial"/>
      <family val="2"/>
    </font>
    <font>
      <b/>
      <sz val="9"/>
      <color rgb="FF7030A0"/>
      <name val="Arial"/>
      <family val="2"/>
    </font>
    <font>
      <sz val="10"/>
      <color rgb="FF000000"/>
      <name val="Times New Roman"/>
      <family val="1"/>
    </font>
    <font>
      <sz val="9"/>
      <name val="Arial"/>
      <family val="2"/>
    </font>
    <font>
      <sz val="9"/>
      <color theme="1"/>
      <name val="Arial"/>
      <family val="2"/>
    </font>
    <font>
      <sz val="8"/>
      <color theme="1"/>
      <name val="Arial"/>
      <family val="2"/>
    </font>
    <font>
      <b/>
      <sz val="8"/>
      <color rgb="FFFF0000"/>
      <name val="Arial"/>
      <family val="2"/>
    </font>
    <font>
      <sz val="8"/>
      <color rgb="FFFF0000"/>
      <name val="Arial"/>
      <family val="2"/>
    </font>
    <font>
      <b/>
      <sz val="8"/>
      <color theme="1"/>
      <name val="Arial"/>
      <family val="2"/>
    </font>
    <font>
      <sz val="8"/>
      <color rgb="FF000000"/>
      <name val="Arial"/>
      <family val="2"/>
    </font>
    <font>
      <sz val="8"/>
      <name val="Arial"/>
      <family val="2"/>
    </font>
    <font>
      <b/>
      <sz val="9"/>
      <color theme="0"/>
      <name val="Arial"/>
      <family val="2"/>
    </font>
    <font>
      <b/>
      <sz val="9"/>
      <color theme="0"/>
      <name val="Geomanist Light"/>
    </font>
    <font>
      <b/>
      <sz val="9"/>
      <name val="Geomanist Light"/>
    </font>
    <font>
      <sz val="9"/>
      <color rgb="FF7030A0"/>
      <name val="Geomanist Light"/>
    </font>
    <font>
      <sz val="12"/>
      <color theme="1"/>
      <name val="Arial"/>
      <family val="2"/>
    </font>
    <font>
      <b/>
      <sz val="16"/>
      <color theme="1"/>
      <name val="Arial"/>
      <family val="2"/>
    </font>
    <font>
      <sz val="16"/>
      <color theme="1"/>
      <name val="Arial"/>
      <family val="2"/>
    </font>
    <font>
      <b/>
      <sz val="16"/>
      <color indexed="8"/>
      <name val="Aptos Narrow"/>
      <family val="2"/>
      <scheme val="minor"/>
    </font>
    <font>
      <sz val="16"/>
      <color theme="1"/>
      <name val="Aptos Narrow"/>
      <family val="2"/>
      <scheme val="minor"/>
    </font>
    <font>
      <sz val="9"/>
      <color indexed="81"/>
      <name val="Tahoma"/>
      <charset val="1"/>
    </font>
    <font>
      <b/>
      <sz val="9"/>
      <color indexed="81"/>
      <name val="Tahoma"/>
      <charset val="1"/>
    </font>
    <font>
      <sz val="10"/>
      <color theme="1"/>
      <name val="Arial"/>
      <family val="2"/>
    </font>
    <font>
      <sz val="10"/>
      <color rgb="FFFF0000"/>
      <name val="Arial"/>
      <family val="2"/>
    </font>
    <font>
      <b/>
      <sz val="10"/>
      <name val="Arial"/>
      <family val="2"/>
    </font>
    <font>
      <b/>
      <sz val="11"/>
      <color theme="1"/>
      <name val="Aptos Narrow"/>
      <scheme val="minor"/>
    </font>
    <font>
      <sz val="10"/>
      <color rgb="FF000000"/>
      <name val="Arial"/>
      <family val="2"/>
    </font>
    <font>
      <b/>
      <sz val="10"/>
      <color rgb="FF7030A0"/>
      <name val="Arial"/>
      <family val="2"/>
    </font>
    <font>
      <b/>
      <sz val="10"/>
      <color rgb="FFFF0000"/>
      <name val="Arial"/>
      <family val="2"/>
    </font>
    <font>
      <b/>
      <sz val="10"/>
      <color theme="1"/>
      <name val="Arial"/>
      <family val="2"/>
    </font>
    <font>
      <sz val="9"/>
      <color rgb="FFC00000"/>
      <name val="Arial"/>
      <family val="2"/>
    </font>
    <font>
      <sz val="8"/>
      <color rgb="FFC00000"/>
      <name val="Arial"/>
      <family val="2"/>
    </font>
    <font>
      <b/>
      <sz val="12"/>
      <color theme="1"/>
      <name val="Arial"/>
      <family val="2"/>
    </font>
    <font>
      <sz val="9"/>
      <color indexed="81"/>
      <name val="Tahoma"/>
      <family val="2"/>
    </font>
    <font>
      <b/>
      <sz val="9"/>
      <color indexed="81"/>
      <name val="Tahoma"/>
      <family val="2"/>
    </font>
    <font>
      <sz val="8"/>
      <color theme="1"/>
      <name val="Aptos Narrow"/>
      <family val="2"/>
      <scheme val="minor"/>
    </font>
    <font>
      <b/>
      <sz val="11"/>
      <color theme="1"/>
      <name val="Aptos Narrow"/>
      <family val="2"/>
      <scheme val="minor"/>
    </font>
    <font>
      <sz val="11"/>
      <name val="Aptos Narrow"/>
      <scheme val="minor"/>
    </font>
    <font>
      <sz val="12"/>
      <color rgb="FFFF0000"/>
      <name val="Arial"/>
      <family val="2"/>
    </font>
    <font>
      <sz val="9"/>
      <color theme="1"/>
      <name val="Aptos Narrow"/>
      <family val="2"/>
      <scheme val="minor"/>
    </font>
    <font>
      <b/>
      <sz val="8"/>
      <color theme="1"/>
      <name val="Aptos Narrow"/>
      <scheme val="minor"/>
    </font>
    <font>
      <b/>
      <sz val="9"/>
      <color theme="1"/>
      <name val="Aptos Narrow"/>
      <scheme val="minor"/>
    </font>
  </fonts>
  <fills count="24">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1"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0" tint="-0.249977111117893"/>
        <bgColor indexed="64"/>
      </patternFill>
    </fill>
    <fill>
      <patternFill patternType="solid">
        <fgColor rgb="FFE6F8FE"/>
        <bgColor indexed="64"/>
      </patternFill>
    </fill>
    <fill>
      <patternFill patternType="solid">
        <fgColor theme="9"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2"/>
        <bgColor indexed="64"/>
      </patternFill>
    </fill>
    <fill>
      <patternFill patternType="solid">
        <fgColor rgb="FFFF99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6A6A6"/>
      </left>
      <right style="thin">
        <color rgb="FFA6A6A6"/>
      </right>
      <top style="thin">
        <color rgb="FFA6A6A6"/>
      </top>
      <bottom style="thin">
        <color rgb="FFA6A6A6"/>
      </bottom>
      <diagonal/>
    </border>
    <border>
      <left/>
      <right style="thin">
        <color theme="0" tint="-0.24994659260841701"/>
      </right>
      <top style="thin">
        <color theme="0" tint="-0.24994659260841701"/>
      </top>
      <bottom style="thin">
        <color theme="0" tint="-0.24994659260841701"/>
      </bottom>
      <diagonal/>
    </border>
    <border>
      <left style="thin">
        <color rgb="FFA6A6A6"/>
      </left>
      <right style="thin">
        <color rgb="FFBEBEBE"/>
      </right>
      <top style="thin">
        <color rgb="FFA6A6A6"/>
      </top>
      <bottom style="thin">
        <color rgb="FFA6A6A6"/>
      </bottom>
      <diagonal/>
    </border>
    <border>
      <left style="medium">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xf numFmtId="0" fontId="4" fillId="0" borderId="0"/>
    <xf numFmtId="43" fontId="1" fillId="0" borderId="0" applyFont="0" applyFill="0" applyBorder="0" applyAlignment="0" applyProtection="0"/>
    <xf numFmtId="41" fontId="1" fillId="0" borderId="0" applyFont="0" applyFill="0" applyBorder="0" applyAlignment="0" applyProtection="0"/>
    <xf numFmtId="0" fontId="8" fillId="0" borderId="0"/>
    <xf numFmtId="0" fontId="4" fillId="0" borderId="0"/>
    <xf numFmtId="9" fontId="1" fillId="0" borderId="0" applyFont="0" applyFill="0" applyBorder="0" applyAlignment="0" applyProtection="0"/>
    <xf numFmtId="44" fontId="1" fillId="0" borderId="0" applyFont="0" applyFill="0" applyBorder="0" applyAlignment="0" applyProtection="0"/>
  </cellStyleXfs>
  <cellXfs count="286">
    <xf numFmtId="0" fontId="0" fillId="0" borderId="0" xfId="0"/>
    <xf numFmtId="43" fontId="11" fillId="0" borderId="0" xfId="3" applyFont="1" applyAlignment="1">
      <alignment horizontal="center" vertical="center"/>
    </xf>
    <xf numFmtId="43" fontId="3" fillId="2" borderId="0" xfId="3"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readingOrder="1"/>
      <protection locked="0"/>
    </xf>
    <xf numFmtId="0" fontId="3" fillId="2" borderId="3" xfId="0" applyFont="1" applyFill="1" applyBorder="1" applyAlignment="1" applyProtection="1">
      <alignment horizontal="center" vertical="center" wrapText="1" readingOrder="1"/>
      <protection locked="0"/>
    </xf>
    <xf numFmtId="0" fontId="3" fillId="2" borderId="4" xfId="0" applyFont="1" applyFill="1" applyBorder="1" applyAlignment="1" applyProtection="1">
      <alignment horizontal="center" vertical="center" wrapText="1"/>
      <protection hidden="1"/>
    </xf>
    <xf numFmtId="0" fontId="10" fillId="0" borderId="1"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pplyProtection="1">
      <alignment horizontal="center" vertical="center" wrapText="1" readingOrder="1"/>
      <protection locked="0"/>
    </xf>
    <xf numFmtId="43" fontId="11" fillId="0" borderId="1" xfId="3" applyFont="1" applyFill="1" applyBorder="1" applyAlignment="1">
      <alignment horizontal="center" vertical="center"/>
    </xf>
    <xf numFmtId="0" fontId="11" fillId="0" borderId="1" xfId="0" applyFont="1" applyBorder="1" applyAlignment="1">
      <alignment horizontal="center" vertical="center"/>
    </xf>
    <xf numFmtId="0" fontId="5" fillId="0" borderId="1" xfId="0" applyFont="1" applyBorder="1" applyAlignment="1" applyProtection="1">
      <alignment horizontal="center" vertical="center" wrapText="1"/>
      <protection hidden="1"/>
    </xf>
    <xf numFmtId="43" fontId="6" fillId="3" borderId="1" xfId="3" applyFont="1" applyFill="1" applyBorder="1" applyAlignment="1" applyProtection="1">
      <alignment horizontal="center" vertical="center" wrapText="1"/>
      <protection hidden="1"/>
    </xf>
    <xf numFmtId="43" fontId="14" fillId="0" borderId="1" xfId="3" applyFont="1" applyBorder="1" applyAlignment="1">
      <alignment horizontal="center" vertical="center"/>
    </xf>
    <xf numFmtId="43" fontId="14" fillId="0" borderId="1" xfId="3" applyFont="1" applyBorder="1" applyAlignment="1">
      <alignment horizontal="center" vertical="center" wrapText="1"/>
    </xf>
    <xf numFmtId="49" fontId="5" fillId="3" borderId="1" xfId="0" applyNumberFormat="1" applyFont="1" applyFill="1" applyBorder="1" applyAlignment="1" applyProtection="1">
      <alignment horizontal="center" vertical="center" wrapText="1"/>
      <protection hidden="1"/>
    </xf>
    <xf numFmtId="49" fontId="5" fillId="5" borderId="1" xfId="0" applyNumberFormat="1" applyFont="1" applyFill="1"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1" fillId="0" borderId="1" xfId="0" applyFont="1" applyBorder="1" applyAlignment="1">
      <alignment horizontal="center" vertical="center" wrapText="1"/>
    </xf>
    <xf numFmtId="0" fontId="16" fillId="0" borderId="1" xfId="0" applyFont="1" applyBorder="1" applyAlignment="1">
      <alignment horizontal="center" vertical="center" wrapText="1"/>
    </xf>
    <xf numFmtId="43" fontId="16" fillId="4" borderId="1" xfId="3" applyFont="1" applyFill="1" applyBorder="1" applyAlignment="1" applyProtection="1">
      <alignment horizontal="center" vertical="center" wrapText="1"/>
      <protection hidden="1"/>
    </xf>
    <xf numFmtId="43" fontId="11" fillId="0" borderId="1" xfId="0" applyNumberFormat="1" applyFont="1" applyBorder="1" applyAlignment="1">
      <alignment vertical="center"/>
    </xf>
    <xf numFmtId="0" fontId="11" fillId="0" borderId="1" xfId="5" applyFont="1" applyBorder="1" applyAlignment="1">
      <alignment horizontal="center" vertical="center" wrapText="1"/>
    </xf>
    <xf numFmtId="0" fontId="11" fillId="0" borderId="1" xfId="6" applyFont="1" applyBorder="1" applyAlignment="1">
      <alignment horizontal="center" vertical="center"/>
    </xf>
    <xf numFmtId="0" fontId="11" fillId="0" borderId="1" xfId="6" applyFont="1" applyBorder="1" applyAlignment="1">
      <alignment horizontal="center" vertical="center" wrapText="1"/>
    </xf>
    <xf numFmtId="49" fontId="16" fillId="0" borderId="1" xfId="0" applyNumberFormat="1" applyFont="1" applyBorder="1" applyAlignment="1">
      <alignment horizontal="center" vertical="center" wrapText="1"/>
    </xf>
    <xf numFmtId="41" fontId="11" fillId="0" borderId="1" xfId="0" applyNumberFormat="1" applyFont="1" applyBorder="1" applyAlignment="1">
      <alignment horizontal="center" vertical="center"/>
    </xf>
    <xf numFmtId="41" fontId="11" fillId="0" borderId="1" xfId="0" applyNumberFormat="1" applyFont="1" applyBorder="1" applyAlignment="1">
      <alignment horizontal="center" vertical="center" wrapText="1"/>
    </xf>
    <xf numFmtId="41" fontId="13" fillId="0" borderId="1" xfId="4" applyFont="1" applyFill="1" applyBorder="1" applyAlignment="1">
      <alignment vertical="center"/>
    </xf>
    <xf numFmtId="0" fontId="13" fillId="0" borderId="1" xfId="0" applyFont="1" applyBorder="1" applyAlignment="1">
      <alignment horizontal="left" vertical="center" wrapText="1"/>
    </xf>
    <xf numFmtId="0" fontId="16" fillId="5" borderId="1" xfId="0" applyFont="1" applyFill="1" applyBorder="1" applyAlignment="1">
      <alignment horizontal="center" vertical="center" wrapText="1"/>
    </xf>
    <xf numFmtId="41" fontId="13" fillId="0" borderId="1" xfId="4" applyFont="1" applyFill="1" applyBorder="1" applyAlignment="1">
      <alignment vertical="center" wrapText="1"/>
    </xf>
    <xf numFmtId="41" fontId="16" fillId="0" borderId="1" xfId="4" applyFont="1" applyFill="1" applyBorder="1" applyAlignment="1">
      <alignment vertical="center"/>
    </xf>
    <xf numFmtId="0" fontId="16" fillId="0" borderId="1" xfId="0" applyFont="1" applyBorder="1" applyAlignment="1">
      <alignment horizontal="left" vertical="center" wrapText="1"/>
    </xf>
    <xf numFmtId="41" fontId="16" fillId="0" borderId="1" xfId="4" applyFont="1" applyFill="1" applyBorder="1" applyAlignment="1">
      <alignment vertical="center" wrapText="1"/>
    </xf>
    <xf numFmtId="41" fontId="16" fillId="0" borderId="1" xfId="4" applyFont="1" applyFill="1" applyBorder="1" applyAlignment="1">
      <alignment horizontal="center" vertical="center"/>
    </xf>
    <xf numFmtId="41" fontId="16" fillId="0" borderId="1" xfId="4" applyFont="1" applyFill="1" applyBorder="1" applyAlignment="1">
      <alignment horizontal="center" vertical="center" wrapText="1"/>
    </xf>
    <xf numFmtId="0" fontId="16" fillId="0" borderId="1" xfId="5" applyFont="1" applyBorder="1" applyAlignment="1">
      <alignment horizontal="center" vertical="center" wrapText="1"/>
    </xf>
    <xf numFmtId="43" fontId="11" fillId="0" borderId="0" xfId="3" applyFont="1" applyAlignment="1">
      <alignment vertical="center"/>
    </xf>
    <xf numFmtId="0" fontId="11" fillId="0" borderId="0" xfId="0" applyFont="1" applyAlignment="1">
      <alignment vertical="center" wrapText="1"/>
    </xf>
    <xf numFmtId="43" fontId="6" fillId="6" borderId="1" xfId="3" applyFont="1" applyFill="1" applyBorder="1" applyAlignment="1" applyProtection="1">
      <alignment horizontal="center" vertical="center" wrapText="1"/>
      <protection hidden="1"/>
    </xf>
    <xf numFmtId="43" fontId="7" fillId="6" borderId="1" xfId="3" applyFont="1" applyFill="1" applyBorder="1" applyAlignment="1" applyProtection="1">
      <alignment horizontal="center" vertical="center" wrapText="1"/>
      <protection hidden="1"/>
    </xf>
    <xf numFmtId="43" fontId="11" fillId="0" borderId="0" xfId="0" applyNumberFormat="1" applyFont="1" applyAlignment="1">
      <alignment horizontal="center" vertical="center" wrapText="1"/>
    </xf>
    <xf numFmtId="43" fontId="11" fillId="0" borderId="0" xfId="0" applyNumberFormat="1" applyFont="1" applyAlignment="1">
      <alignment vertical="center"/>
    </xf>
    <xf numFmtId="0" fontId="17" fillId="8" borderId="7" xfId="0" applyFont="1" applyFill="1" applyBorder="1" applyAlignment="1" applyProtection="1">
      <alignment horizontal="center" vertical="center" wrapText="1"/>
      <protection hidden="1"/>
    </xf>
    <xf numFmtId="0" fontId="17" fillId="8" borderId="8" xfId="0" applyFont="1" applyFill="1" applyBorder="1" applyAlignment="1" applyProtection="1">
      <alignment horizontal="center" vertical="center" wrapText="1"/>
      <protection hidden="1"/>
    </xf>
    <xf numFmtId="43" fontId="18" fillId="9" borderId="9" xfId="3" applyFont="1" applyFill="1" applyBorder="1" applyAlignment="1">
      <alignment horizontal="center" vertical="center" wrapText="1"/>
    </xf>
    <xf numFmtId="0" fontId="19" fillId="10" borderId="9" xfId="0" applyFont="1" applyFill="1" applyBorder="1" applyAlignment="1">
      <alignment horizontal="center" vertical="center" wrapText="1"/>
    </xf>
    <xf numFmtId="43" fontId="19" fillId="10" borderId="9" xfId="3"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9" fillId="0" borderId="11"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20" fillId="0" borderId="12" xfId="0" applyFont="1" applyBorder="1" applyAlignment="1">
      <alignment horizontal="center" vertical="center"/>
    </xf>
    <xf numFmtId="0" fontId="9" fillId="0" borderId="14"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20" fillId="0" borderId="1" xfId="0" applyFont="1" applyBorder="1" applyAlignment="1">
      <alignment horizontal="center" vertical="center"/>
    </xf>
    <xf numFmtId="0" fontId="20" fillId="0" borderId="1" xfId="3" applyNumberFormat="1" applyFont="1" applyBorder="1" applyAlignment="1">
      <alignment horizontal="center" vertical="center"/>
    </xf>
    <xf numFmtId="0" fontId="20" fillId="0" borderId="15" xfId="0" applyFont="1" applyBorder="1" applyAlignment="1">
      <alignment horizontal="center" vertical="center"/>
    </xf>
    <xf numFmtId="0" fontId="9" fillId="0" borderId="16"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20" fillId="0" borderId="3" xfId="0" applyFont="1" applyBorder="1" applyAlignment="1">
      <alignment horizontal="center" vertical="center"/>
    </xf>
    <xf numFmtId="0" fontId="20" fillId="0" borderId="3" xfId="3" applyNumberFormat="1" applyFont="1" applyBorder="1" applyAlignment="1">
      <alignment horizontal="center" vertical="center"/>
    </xf>
    <xf numFmtId="0" fontId="20" fillId="0" borderId="17" xfId="0" applyFont="1" applyBorder="1" applyAlignment="1">
      <alignment horizontal="center" vertical="center"/>
    </xf>
    <xf numFmtId="0" fontId="20" fillId="0" borderId="5" xfId="0" applyFont="1" applyBorder="1" applyAlignment="1">
      <alignment horizontal="center" vertical="center"/>
    </xf>
    <xf numFmtId="0" fontId="20" fillId="0" borderId="18" xfId="0" applyFont="1" applyBorder="1" applyAlignment="1">
      <alignment horizontal="center" vertical="center"/>
    </xf>
    <xf numFmtId="1" fontId="15" fillId="11" borderId="1" xfId="0" applyNumberFormat="1" applyFont="1" applyFill="1" applyBorder="1" applyAlignment="1">
      <alignment horizontal="center" vertical="center" shrinkToFit="1"/>
    </xf>
    <xf numFmtId="1" fontId="13" fillId="11" borderId="1" xfId="0" applyNumberFormat="1" applyFont="1" applyFill="1" applyBorder="1" applyAlignment="1">
      <alignment horizontal="center" vertical="center" shrinkToFit="1"/>
    </xf>
    <xf numFmtId="0" fontId="13" fillId="0" borderId="1" xfId="0" applyFont="1" applyBorder="1" applyAlignment="1">
      <alignment horizontal="center" vertical="center" wrapText="1"/>
    </xf>
    <xf numFmtId="43" fontId="5" fillId="5" borderId="1" xfId="3" applyFont="1" applyFill="1" applyBorder="1" applyAlignment="1" applyProtection="1">
      <alignment horizontal="center" vertical="center" wrapText="1"/>
      <protection hidden="1"/>
    </xf>
    <xf numFmtId="14" fontId="11" fillId="0" borderId="1" xfId="0" applyNumberFormat="1" applyFont="1" applyBorder="1" applyAlignment="1" applyProtection="1">
      <alignment horizontal="center" vertical="center" wrapText="1" readingOrder="1"/>
      <protection locked="0"/>
    </xf>
    <xf numFmtId="0" fontId="17" fillId="8" borderId="4" xfId="0" applyFont="1" applyFill="1" applyBorder="1" applyAlignment="1" applyProtection="1">
      <alignment horizontal="center" vertical="center" wrapText="1"/>
      <protection hidden="1"/>
    </xf>
    <xf numFmtId="43" fontId="0" fillId="0" borderId="0" xfId="3" applyFont="1" applyBorder="1"/>
    <xf numFmtId="0" fontId="20" fillId="0" borderId="0" xfId="0" applyFont="1" applyAlignment="1">
      <alignment horizontal="center" vertical="center"/>
    </xf>
    <xf numFmtId="0" fontId="21" fillId="5" borderId="0" xfId="0" applyFont="1" applyFill="1" applyAlignment="1">
      <alignment vertical="center"/>
    </xf>
    <xf numFmtId="0" fontId="25" fillId="0" borderId="0" xfId="0" applyFont="1" applyAlignment="1">
      <alignment vertical="center"/>
    </xf>
    <xf numFmtId="0" fontId="11" fillId="0" borderId="0" xfId="0" applyFont="1"/>
    <xf numFmtId="43" fontId="11" fillId="0" borderId="0" xfId="3" applyFont="1" applyAlignment="1">
      <alignment wrapText="1"/>
    </xf>
    <xf numFmtId="43" fontId="11" fillId="0" borderId="0" xfId="3" applyFont="1" applyAlignment="1">
      <alignment horizontal="center" vertical="center" wrapText="1"/>
    </xf>
    <xf numFmtId="43" fontId="11" fillId="0" borderId="0" xfId="3" applyFont="1"/>
    <xf numFmtId="43" fontId="11" fillId="0" borderId="1" xfId="3" applyFont="1" applyBorder="1" applyAlignment="1">
      <alignment wrapText="1"/>
    </xf>
    <xf numFmtId="43" fontId="11" fillId="0" borderId="1" xfId="3" applyFont="1" applyBorder="1" applyAlignment="1">
      <alignment horizontal="center" vertical="center" wrapText="1"/>
    </xf>
    <xf numFmtId="0" fontId="28" fillId="0" borderId="1" xfId="0" applyFont="1" applyBorder="1" applyAlignment="1" applyProtection="1">
      <alignment horizontal="center" vertical="center" wrapText="1" readingOrder="1"/>
      <protection locked="0"/>
    </xf>
    <xf numFmtId="0" fontId="28" fillId="0" borderId="0" xfId="0" applyFont="1"/>
    <xf numFmtId="0" fontId="29" fillId="0" borderId="1" xfId="0" applyFont="1" applyBorder="1" applyAlignment="1" applyProtection="1">
      <alignment horizontal="center" vertical="center" wrapText="1" readingOrder="1"/>
      <protection locked="0"/>
    </xf>
    <xf numFmtId="43" fontId="28" fillId="0" borderId="0" xfId="3" applyFont="1" applyFill="1" applyAlignment="1">
      <alignment horizontal="center" vertical="center"/>
    </xf>
    <xf numFmtId="43" fontId="0" fillId="0" borderId="0" xfId="3" applyFont="1"/>
    <xf numFmtId="43" fontId="14" fillId="0" borderId="0" xfId="3" applyFont="1"/>
    <xf numFmtId="43" fontId="0" fillId="0" borderId="0" xfId="0" applyNumberFormat="1"/>
    <xf numFmtId="0" fontId="31" fillId="0" borderId="0" xfId="0" applyFont="1" applyAlignment="1">
      <alignment horizontal="center" vertical="center"/>
    </xf>
    <xf numFmtId="0" fontId="14" fillId="0" borderId="1" xfId="0" applyFont="1" applyBorder="1" applyAlignment="1">
      <alignment horizontal="center" vertical="center" wrapText="1"/>
    </xf>
    <xf numFmtId="0" fontId="12" fillId="2" borderId="4" xfId="0" applyFont="1" applyFill="1" applyBorder="1" applyAlignment="1" applyProtection="1">
      <alignment horizontal="center" vertical="center" wrapText="1"/>
      <protection hidden="1"/>
    </xf>
    <xf numFmtId="43" fontId="4" fillId="0" borderId="0" xfId="3" applyFont="1" applyFill="1" applyBorder="1" applyAlignment="1" applyProtection="1">
      <alignment horizontal="center" vertical="center"/>
      <protection hidden="1"/>
    </xf>
    <xf numFmtId="43" fontId="28" fillId="0" borderId="0" xfId="3" applyFont="1" applyFill="1" applyBorder="1" applyAlignment="1" applyProtection="1">
      <alignment horizontal="center" vertical="center"/>
      <protection hidden="1"/>
    </xf>
    <xf numFmtId="43" fontId="28" fillId="0" borderId="0" xfId="3" applyFont="1" applyFill="1" applyBorder="1" applyAlignment="1">
      <alignment horizontal="center" vertical="center"/>
    </xf>
    <xf numFmtId="0" fontId="30" fillId="0" borderId="0" xfId="0" applyFont="1" applyAlignment="1" applyProtection="1">
      <alignment horizontal="right" vertical="center" wrapText="1"/>
      <protection hidden="1"/>
    </xf>
    <xf numFmtId="9" fontId="30" fillId="0" borderId="0" xfId="7" applyFont="1" applyFill="1" applyBorder="1" applyAlignment="1" applyProtection="1">
      <alignment horizontal="center" vertical="center"/>
      <protection hidden="1"/>
    </xf>
    <xf numFmtId="0" fontId="30" fillId="0" borderId="0" xfId="0" applyFont="1" applyAlignment="1" applyProtection="1">
      <alignment vertical="center" wrapText="1"/>
      <protection hidden="1"/>
    </xf>
    <xf numFmtId="0" fontId="31" fillId="5" borderId="0" xfId="0" applyFont="1" applyFill="1" applyAlignment="1">
      <alignment horizontal="center" vertical="center"/>
    </xf>
    <xf numFmtId="43" fontId="29" fillId="0" borderId="0" xfId="3" applyFont="1" applyFill="1" applyBorder="1" applyAlignment="1" applyProtection="1">
      <alignment horizontal="center" vertical="center"/>
      <protection hidden="1"/>
    </xf>
    <xf numFmtId="0" fontId="29" fillId="0" borderId="0" xfId="0" applyFont="1" applyAlignment="1">
      <alignment horizontal="center" vertical="center"/>
    </xf>
    <xf numFmtId="1" fontId="32" fillId="0" borderId="26" xfId="0" applyNumberFormat="1" applyFont="1" applyBorder="1" applyAlignment="1">
      <alignment horizontal="center" vertical="center" shrinkToFit="1"/>
    </xf>
    <xf numFmtId="0" fontId="4" fillId="0" borderId="26" xfId="0" applyFont="1" applyBorder="1" applyAlignment="1">
      <alignment horizontal="center" vertical="center" wrapText="1"/>
    </xf>
    <xf numFmtId="49" fontId="32" fillId="0" borderId="26" xfId="0" applyNumberFormat="1" applyFont="1" applyBorder="1" applyAlignment="1">
      <alignment horizontal="left" vertical="center" wrapText="1"/>
    </xf>
    <xf numFmtId="39" fontId="28" fillId="0" borderId="27" xfId="3" applyNumberFormat="1" applyFont="1" applyBorder="1" applyAlignment="1" applyProtection="1">
      <alignment horizontal="center" vertical="center" wrapText="1"/>
      <protection hidden="1"/>
    </xf>
    <xf numFmtId="10" fontId="4" fillId="4" borderId="25" xfId="8" applyNumberFormat="1" applyFont="1" applyFill="1" applyBorder="1" applyAlignment="1" applyProtection="1">
      <alignment horizontal="center" vertical="center" wrapText="1"/>
      <protection hidden="1"/>
    </xf>
    <xf numFmtId="10" fontId="28" fillId="15" borderId="25" xfId="7" applyNumberFormat="1" applyFont="1" applyFill="1" applyBorder="1" applyAlignment="1" applyProtection="1">
      <alignment horizontal="center" vertical="center" wrapText="1"/>
      <protection locked="0" hidden="1"/>
    </xf>
    <xf numFmtId="49" fontId="4" fillId="0" borderId="26" xfId="0" applyNumberFormat="1" applyFont="1" applyBorder="1" applyAlignment="1">
      <alignment horizontal="left" vertical="center" wrapText="1"/>
    </xf>
    <xf numFmtId="49" fontId="4"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7" borderId="26" xfId="0" applyFont="1" applyFill="1" applyBorder="1" applyAlignment="1">
      <alignment horizontal="center" vertical="center" wrapText="1"/>
    </xf>
    <xf numFmtId="49" fontId="4" fillId="7" borderId="26" xfId="0" applyNumberFormat="1" applyFont="1" applyFill="1" applyBorder="1" applyAlignment="1">
      <alignment horizontal="left" vertical="center" wrapText="1"/>
    </xf>
    <xf numFmtId="49" fontId="32" fillId="7" borderId="26" xfId="0" applyNumberFormat="1" applyFont="1" applyFill="1" applyBorder="1" applyAlignment="1">
      <alignment horizontal="left" vertical="center" wrapText="1"/>
    </xf>
    <xf numFmtId="0" fontId="4" fillId="0" borderId="26" xfId="0" applyFont="1" applyBorder="1" applyAlignment="1">
      <alignment horizontal="left" vertical="center" wrapText="1"/>
    </xf>
    <xf numFmtId="1" fontId="32" fillId="7" borderId="26" xfId="0" applyNumberFormat="1" applyFont="1" applyFill="1" applyBorder="1" applyAlignment="1">
      <alignment horizontal="center" vertical="center" shrinkToFit="1"/>
    </xf>
    <xf numFmtId="10" fontId="4" fillId="7" borderId="25" xfId="8" applyNumberFormat="1" applyFont="1" applyFill="1" applyBorder="1" applyAlignment="1" applyProtection="1">
      <alignment horizontal="center" vertical="center" wrapText="1"/>
      <protection hidden="1"/>
    </xf>
    <xf numFmtId="10" fontId="28" fillId="7" borderId="25" xfId="7" applyNumberFormat="1" applyFont="1" applyFill="1" applyBorder="1" applyAlignment="1" applyProtection="1">
      <alignment horizontal="center" vertical="center" wrapText="1"/>
      <protection locked="0" hidden="1"/>
    </xf>
    <xf numFmtId="0" fontId="31" fillId="0" borderId="0" xfId="0" applyFont="1"/>
    <xf numFmtId="0" fontId="30" fillId="0" borderId="24" xfId="0" applyFont="1" applyBorder="1" applyAlignment="1" applyProtection="1">
      <alignment horizontal="center" vertical="center" wrapText="1"/>
      <protection hidden="1"/>
    </xf>
    <xf numFmtId="0" fontId="0" fillId="14" borderId="31" xfId="0" applyFill="1" applyBorder="1" applyAlignment="1">
      <alignment horizontal="center" vertical="center" wrapText="1"/>
    </xf>
    <xf numFmtId="0" fontId="0" fillId="14" borderId="31" xfId="0" applyFill="1" applyBorder="1" applyAlignment="1">
      <alignment horizontal="center" vertical="center"/>
    </xf>
    <xf numFmtId="49" fontId="0" fillId="14" borderId="32" xfId="0" applyNumberFormat="1" applyFill="1" applyBorder="1" applyAlignment="1">
      <alignment horizontal="center" vertical="center"/>
    </xf>
    <xf numFmtId="0" fontId="31" fillId="14" borderId="23" xfId="0" applyFont="1" applyFill="1" applyBorder="1" applyAlignment="1">
      <alignment horizontal="center" vertical="center"/>
    </xf>
    <xf numFmtId="43" fontId="4" fillId="4" borderId="25" xfId="3" applyFont="1" applyFill="1" applyBorder="1" applyAlignment="1" applyProtection="1">
      <alignment horizontal="center" vertical="center" wrapText="1"/>
      <protection hidden="1"/>
    </xf>
    <xf numFmtId="43" fontId="4" fillId="7" borderId="25" xfId="3" applyFont="1" applyFill="1" applyBorder="1" applyAlignment="1" applyProtection="1">
      <alignment horizontal="center" vertical="center" wrapText="1"/>
      <protection hidden="1"/>
    </xf>
    <xf numFmtId="43" fontId="28" fillId="4" borderId="25" xfId="3" applyFont="1" applyFill="1" applyBorder="1" applyAlignment="1" applyProtection="1">
      <alignment horizontal="center" vertical="center" wrapText="1"/>
      <protection hidden="1"/>
    </xf>
    <xf numFmtId="43" fontId="28" fillId="0" borderId="27" xfId="3" applyFont="1" applyBorder="1" applyAlignment="1" applyProtection="1">
      <alignment horizontal="center" vertical="center" wrapText="1"/>
      <protection hidden="1"/>
    </xf>
    <xf numFmtId="39" fontId="28" fillId="0" borderId="27" xfId="3" applyNumberFormat="1" applyFont="1" applyFill="1" applyBorder="1" applyAlignment="1" applyProtection="1">
      <alignment horizontal="center" vertical="center" wrapText="1"/>
      <protection hidden="1"/>
    </xf>
    <xf numFmtId="43" fontId="28" fillId="16" borderId="27" xfId="3" applyFont="1" applyFill="1" applyBorder="1" applyAlignment="1" applyProtection="1">
      <alignment horizontal="center" vertical="center" wrapText="1"/>
      <protection hidden="1"/>
    </xf>
    <xf numFmtId="43" fontId="29" fillId="16" borderId="27" xfId="3" applyFont="1" applyFill="1" applyBorder="1" applyAlignment="1" applyProtection="1">
      <alignment horizontal="center" vertical="center" wrapText="1"/>
      <protection hidden="1"/>
    </xf>
    <xf numFmtId="39" fontId="28" fillId="0" borderId="34" xfId="3" applyNumberFormat="1" applyFont="1" applyFill="1" applyBorder="1" applyAlignment="1" applyProtection="1">
      <alignment horizontal="center" vertical="center" wrapText="1"/>
      <protection hidden="1"/>
    </xf>
    <xf numFmtId="39" fontId="28" fillId="0" borderId="35" xfId="3" applyNumberFormat="1" applyFont="1" applyBorder="1" applyAlignment="1" applyProtection="1">
      <alignment horizontal="center" vertical="center" wrapText="1"/>
      <protection hidden="1"/>
    </xf>
    <xf numFmtId="43" fontId="28" fillId="0" borderId="0" xfId="3" applyFont="1"/>
    <xf numFmtId="43" fontId="30" fillId="0" borderId="25" xfId="3" applyFont="1" applyFill="1" applyBorder="1" applyAlignment="1" applyProtection="1">
      <alignment horizontal="center" vertical="center" wrapText="1"/>
      <protection hidden="1"/>
    </xf>
    <xf numFmtId="0" fontId="28" fillId="0" borderId="0" xfId="0" applyFont="1" applyAlignment="1">
      <alignment horizontal="center" vertical="center"/>
    </xf>
    <xf numFmtId="39" fontId="28" fillId="0" borderId="0" xfId="3" applyNumberFormat="1" applyFont="1" applyBorder="1" applyAlignment="1" applyProtection="1">
      <alignment horizontal="center" vertical="center" wrapText="1"/>
      <protection hidden="1"/>
    </xf>
    <xf numFmtId="0" fontId="28" fillId="18" borderId="0" xfId="0" applyFont="1" applyFill="1" applyAlignment="1">
      <alignment horizontal="center" vertical="center"/>
    </xf>
    <xf numFmtId="1" fontId="32" fillId="18" borderId="26" xfId="0" applyNumberFormat="1" applyFont="1" applyFill="1" applyBorder="1" applyAlignment="1">
      <alignment horizontal="center" vertical="center" shrinkToFit="1"/>
    </xf>
    <xf numFmtId="0" fontId="4" fillId="18" borderId="26" xfId="0" applyFont="1" applyFill="1" applyBorder="1" applyAlignment="1">
      <alignment horizontal="center" vertical="center" wrapText="1"/>
    </xf>
    <xf numFmtId="0" fontId="4" fillId="18" borderId="26" xfId="0" applyFont="1" applyFill="1" applyBorder="1" applyAlignment="1">
      <alignment horizontal="left" vertical="center" wrapText="1"/>
    </xf>
    <xf numFmtId="43" fontId="4" fillId="18" borderId="25" xfId="3" applyFont="1" applyFill="1" applyBorder="1" applyAlignment="1" applyProtection="1">
      <alignment horizontal="center" vertical="center" wrapText="1"/>
      <protection hidden="1"/>
    </xf>
    <xf numFmtId="10" fontId="4" fillId="18" borderId="25" xfId="8" applyNumberFormat="1" applyFont="1" applyFill="1" applyBorder="1" applyAlignment="1" applyProtection="1">
      <alignment horizontal="center" vertical="center" wrapText="1"/>
      <protection hidden="1"/>
    </xf>
    <xf numFmtId="10" fontId="28" fillId="18" borderId="25" xfId="7" applyNumberFormat="1" applyFont="1" applyFill="1" applyBorder="1" applyAlignment="1" applyProtection="1">
      <alignment horizontal="center" vertical="center" wrapText="1"/>
      <protection locked="0" hidden="1"/>
    </xf>
    <xf numFmtId="43" fontId="28" fillId="18" borderId="25" xfId="3" applyFont="1" applyFill="1" applyBorder="1" applyAlignment="1" applyProtection="1">
      <alignment horizontal="center" vertical="center" wrapText="1"/>
      <protection hidden="1"/>
    </xf>
    <xf numFmtId="43" fontId="28" fillId="18" borderId="27" xfId="3" applyFont="1" applyFill="1" applyBorder="1" applyAlignment="1" applyProtection="1">
      <alignment horizontal="center" vertical="center" wrapText="1"/>
      <protection hidden="1"/>
    </xf>
    <xf numFmtId="1" fontId="32" fillId="19" borderId="26" xfId="0" applyNumberFormat="1" applyFont="1" applyFill="1" applyBorder="1" applyAlignment="1">
      <alignment horizontal="center" vertical="center" shrinkToFit="1"/>
    </xf>
    <xf numFmtId="0" fontId="4" fillId="19" borderId="26" xfId="0" applyFont="1" applyFill="1" applyBorder="1" applyAlignment="1">
      <alignment horizontal="center" vertical="center" wrapText="1"/>
    </xf>
    <xf numFmtId="49" fontId="32" fillId="19" borderId="26" xfId="0" applyNumberFormat="1" applyFont="1" applyFill="1" applyBorder="1" applyAlignment="1">
      <alignment horizontal="left" vertical="center" wrapText="1"/>
    </xf>
    <xf numFmtId="0" fontId="29" fillId="7" borderId="26" xfId="0" applyFont="1" applyFill="1" applyBorder="1" applyAlignment="1">
      <alignment horizontal="center" vertical="center" wrapText="1"/>
    </xf>
    <xf numFmtId="49" fontId="29" fillId="7" borderId="26" xfId="0" applyNumberFormat="1" applyFont="1" applyFill="1" applyBorder="1" applyAlignment="1">
      <alignment horizontal="left" vertical="center" wrapText="1"/>
    </xf>
    <xf numFmtId="43" fontId="28" fillId="6" borderId="27" xfId="3" applyFont="1" applyFill="1" applyBorder="1" applyAlignment="1" applyProtection="1">
      <alignment horizontal="center" vertical="center" wrapText="1"/>
      <protection hidden="1"/>
    </xf>
    <xf numFmtId="0" fontId="34" fillId="7" borderId="26" xfId="0" applyFont="1" applyFill="1" applyBorder="1" applyAlignment="1">
      <alignment horizontal="center" vertical="center" wrapText="1"/>
    </xf>
    <xf numFmtId="49" fontId="34" fillId="7" borderId="26" xfId="0" applyNumberFormat="1" applyFont="1" applyFill="1" applyBorder="1" applyAlignment="1">
      <alignment horizontal="left" vertical="center" wrapText="1"/>
    </xf>
    <xf numFmtId="43" fontId="28" fillId="0" borderId="0" xfId="3" applyFont="1" applyFill="1" applyBorder="1" applyAlignment="1" applyProtection="1">
      <alignment horizontal="center" vertical="center" wrapText="1"/>
      <protection hidden="1"/>
    </xf>
    <xf numFmtId="39" fontId="28" fillId="0" borderId="0" xfId="3" applyNumberFormat="1" applyFont="1" applyFill="1" applyBorder="1" applyAlignment="1" applyProtection="1">
      <alignment horizontal="center" vertical="center" wrapText="1"/>
      <protection hidden="1"/>
    </xf>
    <xf numFmtId="43" fontId="4" fillId="17" borderId="25" xfId="3" applyFont="1" applyFill="1" applyBorder="1" applyAlignment="1" applyProtection="1">
      <alignment horizontal="center" vertical="center" wrapText="1"/>
      <protection hidden="1"/>
    </xf>
    <xf numFmtId="0" fontId="4" fillId="19" borderId="26" xfId="0" applyFont="1" applyFill="1" applyBorder="1" applyAlignment="1">
      <alignment horizontal="left" vertical="center" wrapText="1"/>
    </xf>
    <xf numFmtId="43" fontId="28" fillId="20" borderId="27" xfId="3" applyFont="1" applyFill="1" applyBorder="1" applyAlignment="1" applyProtection="1">
      <alignment horizontal="center" vertical="center" wrapText="1"/>
      <protection hidden="1"/>
    </xf>
    <xf numFmtId="43" fontId="28" fillId="0" borderId="0" xfId="3" applyFont="1" applyFill="1"/>
    <xf numFmtId="165" fontId="28" fillId="0" borderId="21" xfId="7" applyNumberFormat="1" applyFont="1" applyFill="1" applyBorder="1" applyAlignment="1">
      <alignment horizontal="center" vertical="center"/>
    </xf>
    <xf numFmtId="0" fontId="30" fillId="0" borderId="4" xfId="0" applyFont="1" applyBorder="1" applyAlignment="1" applyProtection="1">
      <alignment horizontal="center" vertical="center" wrapText="1"/>
      <protection hidden="1"/>
    </xf>
    <xf numFmtId="49" fontId="30" fillId="0" borderId="4" xfId="0" applyNumberFormat="1" applyFont="1" applyBorder="1" applyAlignment="1" applyProtection="1">
      <alignment horizontal="center" vertical="center" wrapText="1"/>
      <protection hidden="1"/>
    </xf>
    <xf numFmtId="49" fontId="30" fillId="0" borderId="25" xfId="0" applyNumberFormat="1" applyFont="1" applyBorder="1" applyAlignment="1" applyProtection="1">
      <alignment horizontal="center" vertical="center" wrapText="1"/>
      <protection hidden="1"/>
    </xf>
    <xf numFmtId="43" fontId="33" fillId="0" borderId="22" xfId="3" applyFont="1" applyFill="1" applyBorder="1" applyAlignment="1" applyProtection="1">
      <alignment horizontal="center" vertical="center" wrapText="1"/>
      <protection hidden="1"/>
    </xf>
    <xf numFmtId="9" fontId="30" fillId="0" borderId="25" xfId="3" applyNumberFormat="1" applyFont="1" applyFill="1" applyBorder="1" applyAlignment="1" applyProtection="1">
      <alignment horizontal="center" vertical="center" wrapText="1"/>
      <protection hidden="1"/>
    </xf>
    <xf numFmtId="39" fontId="28" fillId="17" borderId="27" xfId="3" applyNumberFormat="1" applyFont="1" applyFill="1" applyBorder="1" applyAlignment="1" applyProtection="1">
      <alignment horizontal="center" vertical="center" wrapText="1"/>
      <protection hidden="1"/>
    </xf>
    <xf numFmtId="43" fontId="35" fillId="0" borderId="25" xfId="3" applyFont="1" applyFill="1" applyBorder="1" applyAlignment="1" applyProtection="1">
      <alignment horizontal="center" vertical="center" wrapText="1"/>
      <protection hidden="1"/>
    </xf>
    <xf numFmtId="0" fontId="37" fillId="12" borderId="1" xfId="0" applyFont="1" applyFill="1" applyBorder="1" applyAlignment="1">
      <alignment horizontal="center" vertical="center"/>
    </xf>
    <xf numFmtId="0" fontId="11" fillId="6" borderId="1" xfId="0" applyFont="1" applyFill="1" applyBorder="1" applyAlignment="1" applyProtection="1">
      <alignment horizontal="center" vertical="center" wrapText="1" readingOrder="1"/>
      <protection locked="0"/>
    </xf>
    <xf numFmtId="0" fontId="11" fillId="6" borderId="1" xfId="0" applyFont="1" applyFill="1" applyBorder="1" applyAlignment="1">
      <alignment horizontal="left" vertical="center"/>
    </xf>
    <xf numFmtId="43" fontId="21" fillId="5" borderId="1" xfId="0" applyNumberFormat="1" applyFont="1" applyFill="1" applyBorder="1" applyAlignment="1">
      <alignment vertical="center"/>
    </xf>
    <xf numFmtId="164" fontId="12" fillId="0" borderId="1" xfId="0" applyNumberFormat="1" applyFont="1" applyBorder="1" applyAlignment="1" applyProtection="1">
      <alignment horizontal="center" vertical="center" wrapText="1"/>
      <protection hidden="1"/>
    </xf>
    <xf numFmtId="164" fontId="14" fillId="0" borderId="1" xfId="0" applyNumberFormat="1" applyFont="1" applyBorder="1" applyAlignment="1" applyProtection="1">
      <alignment horizontal="center" vertical="center" wrapText="1"/>
      <protection hidden="1"/>
    </xf>
    <xf numFmtId="0" fontId="23" fillId="5" borderId="1" xfId="0" applyFont="1" applyFill="1" applyBorder="1" applyAlignment="1">
      <alignment horizontal="left" vertical="center"/>
    </xf>
    <xf numFmtId="0" fontId="4" fillId="0" borderId="1" xfId="0" applyFont="1" applyBorder="1" applyAlignment="1" applyProtection="1">
      <alignment horizontal="center" vertical="center" wrapText="1"/>
      <protection hidden="1"/>
    </xf>
    <xf numFmtId="0" fontId="28" fillId="0" borderId="1" xfId="0" applyFont="1" applyBorder="1" applyAlignment="1">
      <alignment vertical="center"/>
    </xf>
    <xf numFmtId="43" fontId="28" fillId="0" borderId="1" xfId="0" applyNumberFormat="1" applyFont="1" applyBorder="1" applyAlignment="1">
      <alignment vertical="center"/>
    </xf>
    <xf numFmtId="0" fontId="11" fillId="21" borderId="1" xfId="0" applyFont="1" applyFill="1" applyBorder="1" applyAlignment="1">
      <alignment horizontal="center" vertical="center"/>
    </xf>
    <xf numFmtId="0" fontId="11" fillId="0" borderId="1" xfId="0" applyFont="1" applyBorder="1" applyAlignment="1">
      <alignment horizontal="left" vertical="center"/>
    </xf>
    <xf numFmtId="49" fontId="11" fillId="0" borderId="1" xfId="0" applyNumberFormat="1" applyFont="1" applyBorder="1" applyAlignment="1" applyProtection="1">
      <alignment horizontal="left" vertical="center" wrapText="1"/>
      <protection hidden="1"/>
    </xf>
    <xf numFmtId="166" fontId="11" fillId="0" borderId="1" xfId="8" applyNumberFormat="1" applyFont="1" applyFill="1" applyBorder="1" applyAlignment="1">
      <alignment horizontal="left" vertical="center"/>
    </xf>
    <xf numFmtId="166" fontId="3" fillId="2" borderId="0" xfId="8" applyNumberFormat="1" applyFont="1" applyFill="1" applyBorder="1" applyAlignment="1" applyProtection="1">
      <alignment horizontal="center" vertical="center" wrapText="1"/>
      <protection hidden="1"/>
    </xf>
    <xf numFmtId="166" fontId="11" fillId="0" borderId="1" xfId="8" applyNumberFormat="1" applyFont="1" applyFill="1" applyBorder="1" applyAlignment="1">
      <alignment horizontal="center" vertical="center"/>
    </xf>
    <xf numFmtId="166" fontId="23" fillId="5" borderId="1" xfId="8" applyNumberFormat="1" applyFont="1" applyFill="1" applyBorder="1" applyAlignment="1">
      <alignment horizontal="left" vertical="center"/>
    </xf>
    <xf numFmtId="166" fontId="0" fillId="0" borderId="0" xfId="8" applyNumberFormat="1" applyFont="1"/>
    <xf numFmtId="0" fontId="11" fillId="21" borderId="1" xfId="0" applyFont="1" applyFill="1" applyBorder="1" applyAlignment="1" applyProtection="1">
      <alignment horizontal="center" vertical="center" wrapText="1" readingOrder="1"/>
      <protection locked="0"/>
    </xf>
    <xf numFmtId="0" fontId="11" fillId="21" borderId="1" xfId="0" applyFont="1" applyFill="1" applyBorder="1" applyAlignment="1">
      <alignment horizontal="left" vertical="center" wrapText="1"/>
    </xf>
    <xf numFmtId="0" fontId="11" fillId="0" borderId="0" xfId="0" applyFont="1" applyAlignment="1" applyProtection="1">
      <alignment horizontal="center" vertical="center" wrapText="1" readingOrder="1"/>
      <protection locked="0"/>
    </xf>
    <xf numFmtId="166" fontId="11" fillId="0" borderId="0" xfId="8" applyNumberFormat="1" applyFont="1" applyFill="1" applyBorder="1" applyAlignment="1">
      <alignment horizontal="center" vertical="center"/>
    </xf>
    <xf numFmtId="0" fontId="11" fillId="0" borderId="0" xfId="0" applyFont="1" applyAlignment="1">
      <alignment horizontal="center" vertical="center"/>
    </xf>
    <xf numFmtId="0" fontId="23" fillId="5" borderId="20" xfId="0" applyFont="1" applyFill="1" applyBorder="1" applyAlignment="1">
      <alignment horizontal="left" vertical="center"/>
    </xf>
    <xf numFmtId="166" fontId="41" fillId="0" borderId="0" xfId="8" applyNumberFormat="1" applyFont="1"/>
    <xf numFmtId="44" fontId="0" fillId="0" borderId="0" xfId="8" applyFont="1"/>
    <xf numFmtId="0" fontId="36" fillId="0" borderId="1" xfId="0" applyFont="1" applyBorder="1" applyAlignment="1">
      <alignment horizontal="center" vertical="center"/>
    </xf>
    <xf numFmtId="0" fontId="0" fillId="0" borderId="1" xfId="0" applyBorder="1"/>
    <xf numFmtId="0" fontId="42" fillId="22" borderId="1" xfId="0" applyFont="1" applyFill="1" applyBorder="1" applyAlignment="1">
      <alignment horizontal="center"/>
    </xf>
    <xf numFmtId="0" fontId="43" fillId="0" borderId="1" xfId="0" applyFont="1" applyBorder="1"/>
    <xf numFmtId="0" fontId="9" fillId="0" borderId="1" xfId="0" applyFont="1" applyBorder="1" applyAlignment="1">
      <alignment horizontal="center" vertical="center"/>
    </xf>
    <xf numFmtId="0" fontId="16" fillId="0" borderId="1" xfId="0" applyFont="1" applyBorder="1" applyAlignment="1" applyProtection="1">
      <alignment horizontal="center" vertical="center" wrapText="1" readingOrder="1"/>
      <protection locked="0"/>
    </xf>
    <xf numFmtId="14" fontId="16" fillId="0" borderId="1" xfId="0" applyNumberFormat="1" applyFont="1" applyBorder="1" applyAlignment="1" applyProtection="1">
      <alignment horizontal="center" vertical="center" wrapText="1" readingOrder="1"/>
      <protection locked="0"/>
    </xf>
    <xf numFmtId="0" fontId="11" fillId="21" borderId="1" xfId="0" applyFont="1" applyFill="1" applyBorder="1" applyAlignment="1">
      <alignment horizontal="left" vertical="center"/>
    </xf>
    <xf numFmtId="0" fontId="11" fillId="6" borderId="1" xfId="0" applyFont="1" applyFill="1" applyBorder="1" applyAlignment="1">
      <alignment horizontal="center" vertical="center"/>
    </xf>
    <xf numFmtId="0" fontId="16" fillId="21" borderId="1" xfId="0" applyFont="1" applyFill="1" applyBorder="1" applyAlignment="1" applyProtection="1">
      <alignment horizontal="center" vertical="center" wrapText="1" readingOrder="1"/>
      <protection locked="0"/>
    </xf>
    <xf numFmtId="14" fontId="11" fillId="21" borderId="1" xfId="0" applyNumberFormat="1" applyFont="1" applyFill="1" applyBorder="1" applyAlignment="1" applyProtection="1">
      <alignment horizontal="center" vertical="center" wrapText="1" readingOrder="1"/>
      <protection locked="0"/>
    </xf>
    <xf numFmtId="0" fontId="11" fillId="0" borderId="1" xfId="0" applyFont="1" applyBorder="1" applyAlignment="1" applyProtection="1">
      <alignment horizontal="left" vertical="center" wrapText="1"/>
      <protection locked="0"/>
    </xf>
    <xf numFmtId="166" fontId="11" fillId="7" borderId="1" xfId="8" applyNumberFormat="1" applyFont="1" applyFill="1" applyBorder="1" applyAlignment="1" applyProtection="1">
      <alignment horizontal="left" vertical="center" wrapText="1"/>
      <protection hidden="1"/>
    </xf>
    <xf numFmtId="166" fontId="11" fillId="7" borderId="1" xfId="8" applyNumberFormat="1" applyFont="1" applyFill="1" applyBorder="1" applyAlignment="1">
      <alignment horizontal="center" vertical="center"/>
    </xf>
    <xf numFmtId="166" fontId="11" fillId="7" borderId="1" xfId="8" applyNumberFormat="1" applyFont="1" applyFill="1" applyBorder="1" applyAlignment="1">
      <alignment horizontal="left" vertical="center"/>
    </xf>
    <xf numFmtId="166" fontId="11" fillId="17" borderId="1" xfId="8" applyNumberFormat="1" applyFont="1" applyFill="1" applyBorder="1" applyAlignment="1" applyProtection="1">
      <alignment horizontal="left" vertical="center" wrapText="1"/>
      <protection hidden="1"/>
    </xf>
    <xf numFmtId="166" fontId="11" fillId="17" borderId="1" xfId="8" applyNumberFormat="1" applyFont="1" applyFill="1" applyBorder="1" applyAlignment="1">
      <alignment horizontal="left" vertical="center"/>
    </xf>
    <xf numFmtId="49" fontId="11" fillId="21" borderId="1" xfId="0" applyNumberFormat="1" applyFont="1" applyFill="1" applyBorder="1" applyAlignment="1" applyProtection="1">
      <alignment horizontal="left" vertical="center" wrapText="1"/>
      <protection hidden="1"/>
    </xf>
    <xf numFmtId="166" fontId="11" fillId="17" borderId="1" xfId="8" applyNumberFormat="1" applyFont="1" applyFill="1" applyBorder="1" applyAlignment="1">
      <alignment horizontal="center" vertical="center"/>
    </xf>
    <xf numFmtId="0" fontId="3" fillId="2" borderId="1" xfId="0" applyFont="1" applyFill="1" applyBorder="1" applyAlignment="1" applyProtection="1">
      <alignment horizontal="center" vertical="center" wrapText="1" readingOrder="1"/>
      <protection locked="0"/>
    </xf>
    <xf numFmtId="166" fontId="11" fillId="21" borderId="1" xfId="8" applyNumberFormat="1" applyFont="1" applyFill="1" applyBorder="1" applyAlignment="1">
      <alignment horizontal="center" vertical="center"/>
    </xf>
    <xf numFmtId="166" fontId="11" fillId="21" borderId="1" xfId="8" applyNumberFormat="1" applyFont="1" applyFill="1" applyBorder="1" applyAlignment="1" applyProtection="1">
      <alignment horizontal="left" vertical="center" wrapText="1"/>
      <protection hidden="1"/>
    </xf>
    <xf numFmtId="166" fontId="11" fillId="21" borderId="1" xfId="8" applyNumberFormat="1" applyFont="1" applyFill="1" applyBorder="1" applyAlignment="1">
      <alignment horizontal="left" vertical="center" wrapText="1"/>
    </xf>
    <xf numFmtId="0" fontId="11" fillId="7" borderId="1" xfId="0" applyFont="1" applyFill="1" applyBorder="1" applyAlignment="1">
      <alignment horizontal="left" vertical="center"/>
    </xf>
    <xf numFmtId="0" fontId="11" fillId="7" borderId="1" xfId="0" applyFont="1" applyFill="1" applyBorder="1" applyAlignment="1">
      <alignment horizontal="center" vertical="center"/>
    </xf>
    <xf numFmtId="49" fontId="11" fillId="7" borderId="1" xfId="0" applyNumberFormat="1" applyFont="1" applyFill="1" applyBorder="1" applyAlignment="1" applyProtection="1">
      <alignment horizontal="left" vertical="center"/>
      <protection hidden="1"/>
    </xf>
    <xf numFmtId="166" fontId="11" fillId="7" borderId="1" xfId="8" applyNumberFormat="1" applyFont="1" applyFill="1" applyBorder="1" applyAlignment="1" applyProtection="1">
      <alignment horizontal="center" vertical="center" wrapText="1" readingOrder="1"/>
      <protection locked="0"/>
    </xf>
    <xf numFmtId="0" fontId="11" fillId="7" borderId="20" xfId="0" applyFont="1" applyFill="1" applyBorder="1" applyAlignment="1">
      <alignment horizontal="left" vertical="center"/>
    </xf>
    <xf numFmtId="0" fontId="11" fillId="7" borderId="1" xfId="0" applyFont="1" applyFill="1" applyBorder="1" applyAlignment="1" applyProtection="1">
      <alignment horizontal="left" vertical="center" readingOrder="1"/>
      <protection locked="0"/>
    </xf>
    <xf numFmtId="166" fontId="11" fillId="21" borderId="1" xfId="8" applyNumberFormat="1" applyFont="1" applyFill="1" applyBorder="1" applyAlignment="1">
      <alignment horizontal="left" vertical="center"/>
    </xf>
    <xf numFmtId="0" fontId="10" fillId="21" borderId="1" xfId="0" applyFont="1" applyFill="1" applyBorder="1" applyAlignment="1">
      <alignment horizontal="center" vertical="center"/>
    </xf>
    <xf numFmtId="0" fontId="11" fillId="23" borderId="1" xfId="0" applyFont="1" applyFill="1" applyBorder="1" applyAlignment="1" applyProtection="1">
      <alignment horizontal="center" vertical="center" wrapText="1" readingOrder="1"/>
      <protection locked="0"/>
    </xf>
    <xf numFmtId="0" fontId="20" fillId="23" borderId="1" xfId="0" applyFont="1" applyFill="1" applyBorder="1" applyAlignment="1">
      <alignment horizontal="center" vertical="center"/>
    </xf>
    <xf numFmtId="0" fontId="20" fillId="23" borderId="3" xfId="0" applyFont="1" applyFill="1" applyBorder="1" applyAlignment="1">
      <alignment horizontal="center" vertical="center"/>
    </xf>
    <xf numFmtId="0" fontId="20" fillId="23" borderId="12" xfId="0" applyFont="1" applyFill="1" applyBorder="1" applyAlignment="1">
      <alignment horizontal="center" vertical="center"/>
    </xf>
    <xf numFmtId="0" fontId="16" fillId="23" borderId="1" xfId="0" applyFont="1" applyFill="1" applyBorder="1" applyAlignment="1" applyProtection="1">
      <alignment horizontal="center" vertical="center" wrapText="1" readingOrder="1"/>
      <protection locked="0"/>
    </xf>
    <xf numFmtId="0" fontId="20" fillId="23" borderId="12" xfId="3" applyNumberFormat="1" applyFont="1" applyFill="1" applyBorder="1" applyAlignment="1">
      <alignment horizontal="center" vertical="center"/>
    </xf>
    <xf numFmtId="0" fontId="20" fillId="23" borderId="13" xfId="0" applyFont="1" applyFill="1" applyBorder="1" applyAlignment="1">
      <alignment horizontal="center" vertical="center"/>
    </xf>
    <xf numFmtId="49" fontId="11" fillId="0" borderId="1" xfId="0" applyNumberFormat="1" applyFont="1" applyBorder="1" applyAlignment="1" applyProtection="1">
      <alignment horizontal="left" vertical="center"/>
      <protection hidden="1"/>
    </xf>
    <xf numFmtId="166" fontId="11" fillId="0" borderId="1" xfId="8" applyNumberFormat="1" applyFont="1" applyFill="1" applyBorder="1" applyAlignment="1" applyProtection="1">
      <alignment horizontal="left" vertical="center"/>
      <protection hidden="1"/>
    </xf>
    <xf numFmtId="49" fontId="11" fillId="23" borderId="1" xfId="0" applyNumberFormat="1" applyFont="1" applyFill="1" applyBorder="1" applyAlignment="1" applyProtection="1">
      <alignment horizontal="left" vertical="center"/>
      <protection hidden="1"/>
    </xf>
    <xf numFmtId="0" fontId="0" fillId="23" borderId="0" xfId="0" applyFill="1"/>
    <xf numFmtId="166" fontId="0" fillId="23" borderId="0" xfId="8" applyNumberFormat="1" applyFont="1" applyFill="1"/>
    <xf numFmtId="166" fontId="11" fillId="23" borderId="1" xfId="8" applyNumberFormat="1" applyFont="1" applyFill="1" applyBorder="1" applyAlignment="1" applyProtection="1">
      <alignment horizontal="left" vertical="center"/>
      <protection hidden="1"/>
    </xf>
    <xf numFmtId="0" fontId="11" fillId="7" borderId="1" xfId="0" applyFont="1" applyFill="1" applyBorder="1" applyAlignment="1" applyProtection="1">
      <alignment horizontal="center" vertical="center" wrapText="1" readingOrder="1"/>
      <protection locked="0"/>
    </xf>
    <xf numFmtId="0" fontId="43" fillId="7" borderId="1" xfId="0" applyFont="1" applyFill="1" applyBorder="1"/>
    <xf numFmtId="49" fontId="11" fillId="6" borderId="1" xfId="0" applyNumberFormat="1" applyFont="1" applyFill="1" applyBorder="1" applyAlignment="1" applyProtection="1">
      <alignment horizontal="left" vertical="center" wrapText="1"/>
      <protection hidden="1"/>
    </xf>
    <xf numFmtId="49" fontId="5" fillId="7" borderId="1" xfId="0" applyNumberFormat="1" applyFont="1" applyFill="1" applyBorder="1" applyAlignment="1" applyProtection="1">
      <alignment horizontal="center" vertical="center" wrapText="1"/>
      <protection hidden="1"/>
    </xf>
    <xf numFmtId="0" fontId="10" fillId="7"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9" fillId="0" borderId="1" xfId="0" applyFont="1" applyFill="1" applyBorder="1" applyAlignment="1">
      <alignment horizontal="center" vertical="center"/>
    </xf>
    <xf numFmtId="43" fontId="21" fillId="5" borderId="3" xfId="0" applyNumberFormat="1" applyFont="1" applyFill="1" applyBorder="1" applyAlignment="1">
      <alignment vertical="center"/>
    </xf>
    <xf numFmtId="43" fontId="21" fillId="0" borderId="0" xfId="3" applyFont="1" applyFill="1" applyBorder="1" applyAlignment="1">
      <alignment horizontal="center" vertical="center"/>
    </xf>
    <xf numFmtId="0" fontId="0" fillId="0" borderId="0" xfId="0" applyFill="1" applyBorder="1"/>
    <xf numFmtId="43" fontId="38" fillId="0" borderId="0" xfId="3" applyFont="1" applyFill="1" applyBorder="1" applyAlignment="1">
      <alignment horizontal="center" vertical="center"/>
    </xf>
    <xf numFmtId="43" fontId="0" fillId="0" borderId="0" xfId="3" applyFont="1" applyFill="1" applyBorder="1"/>
    <xf numFmtId="43" fontId="0" fillId="0" borderId="1" xfId="3" applyFont="1" applyBorder="1" applyAlignment="1">
      <alignment horizontal="center" vertical="center"/>
    </xf>
    <xf numFmtId="43" fontId="44" fillId="5" borderId="1" xfId="0" applyNumberFormat="1" applyFont="1" applyFill="1" applyBorder="1" applyAlignment="1">
      <alignment vertical="center"/>
    </xf>
    <xf numFmtId="0" fontId="45" fillId="0" borderId="1" xfId="0" applyFont="1" applyBorder="1"/>
    <xf numFmtId="43" fontId="45" fillId="0" borderId="1" xfId="3" applyFont="1" applyBorder="1"/>
    <xf numFmtId="0" fontId="46" fillId="0" borderId="1" xfId="0" applyFont="1" applyFill="1" applyBorder="1" applyAlignment="1">
      <alignment horizontal="center" vertical="center"/>
    </xf>
    <xf numFmtId="43" fontId="46" fillId="0" borderId="1" xfId="0" applyNumberFormat="1" applyFont="1" applyBorder="1" applyAlignment="1">
      <alignment horizontal="center" vertical="center"/>
    </xf>
    <xf numFmtId="0" fontId="47" fillId="0" borderId="1" xfId="0" applyFont="1" applyBorder="1"/>
    <xf numFmtId="0" fontId="47" fillId="0" borderId="1" xfId="0" applyFont="1" applyBorder="1" applyAlignment="1">
      <alignment horizontal="center" vertical="center" wrapText="1"/>
    </xf>
    <xf numFmtId="43" fontId="45" fillId="0" borderId="0" xfId="3" applyFont="1" applyAlignment="1">
      <alignment horizontal="center" vertical="center"/>
    </xf>
    <xf numFmtId="0" fontId="45" fillId="0" borderId="1" xfId="3" applyNumberFormat="1" applyFont="1" applyBorder="1" applyAlignment="1">
      <alignment horizontal="center" vertical="center"/>
    </xf>
    <xf numFmtId="0" fontId="5" fillId="5" borderId="0" xfId="0" applyFont="1" applyFill="1" applyAlignment="1" applyProtection="1">
      <alignment horizontal="center" vertical="center" wrapText="1"/>
      <protection hidden="1"/>
    </xf>
    <xf numFmtId="0" fontId="11" fillId="0" borderId="0" xfId="0" pivotButton="1" applyFont="1"/>
    <xf numFmtId="0" fontId="11" fillId="0" borderId="0" xfId="0" applyFont="1" applyAlignment="1">
      <alignment horizontal="left"/>
    </xf>
    <xf numFmtId="0" fontId="11" fillId="0" borderId="0" xfId="0" applyNumberFormat="1" applyFont="1" applyAlignment="1">
      <alignment wrapText="1"/>
    </xf>
    <xf numFmtId="0" fontId="11" fillId="0" borderId="0" xfId="0" applyFont="1" applyAlignment="1">
      <alignment horizontal="left" indent="1"/>
    </xf>
    <xf numFmtId="43" fontId="5" fillId="5" borderId="0" xfId="3" applyFont="1" applyFill="1" applyAlignment="1" applyProtection="1">
      <alignment horizontal="center" vertical="center" wrapText="1"/>
      <protection hidden="1"/>
    </xf>
    <xf numFmtId="167" fontId="28" fillId="0" borderId="1" xfId="3" applyNumberFormat="1" applyFont="1" applyFill="1" applyBorder="1" applyAlignment="1">
      <alignment horizontal="center" vertical="center"/>
    </xf>
    <xf numFmtId="167" fontId="28" fillId="0" borderId="1" xfId="0" applyNumberFormat="1" applyFont="1" applyBorder="1" applyAlignment="1">
      <alignment vertical="center"/>
    </xf>
    <xf numFmtId="167" fontId="28" fillId="0" borderId="19" xfId="3" applyNumberFormat="1" applyFont="1" applyFill="1" applyBorder="1" applyAlignment="1">
      <alignment horizontal="center" vertical="center"/>
    </xf>
    <xf numFmtId="167" fontId="28" fillId="0" borderId="33" xfId="3" applyNumberFormat="1" applyFont="1" applyFill="1" applyBorder="1" applyAlignment="1">
      <alignment horizontal="center" vertical="center"/>
    </xf>
    <xf numFmtId="167" fontId="28" fillId="13" borderId="19" xfId="3" applyNumberFormat="1" applyFont="1" applyFill="1" applyBorder="1" applyAlignment="1">
      <alignment horizontal="center" vertical="center"/>
    </xf>
    <xf numFmtId="0" fontId="0" fillId="0" borderId="6" xfId="0" applyBorder="1" applyAlignment="1">
      <alignment horizontal="center"/>
    </xf>
    <xf numFmtId="0" fontId="0" fillId="0" borderId="5" xfId="0" applyBorder="1" applyAlignment="1">
      <alignment horizontal="center"/>
    </xf>
    <xf numFmtId="0" fontId="24" fillId="5" borderId="0" xfId="0" applyFont="1" applyFill="1" applyAlignment="1">
      <alignment horizontal="center" vertical="center"/>
    </xf>
    <xf numFmtId="0" fontId="22" fillId="5" borderId="1" xfId="0" applyFont="1" applyFill="1" applyBorder="1" applyAlignment="1">
      <alignment horizontal="center" vertical="center"/>
    </xf>
    <xf numFmtId="167" fontId="28" fillId="0" borderId="1" xfId="0" applyNumberFormat="1" applyFont="1" applyBorder="1" applyAlignment="1">
      <alignment horizontal="center" vertical="center"/>
    </xf>
    <xf numFmtId="43"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30" fillId="0" borderId="29" xfId="0" applyFont="1" applyBorder="1" applyAlignment="1" applyProtection="1">
      <alignment horizontal="center" vertical="center" wrapText="1"/>
      <protection hidden="1"/>
    </xf>
    <xf numFmtId="0" fontId="30" fillId="0" borderId="30" xfId="0" applyFont="1" applyBorder="1" applyAlignment="1" applyProtection="1">
      <alignment horizontal="center" vertical="center" wrapText="1"/>
      <protection hidden="1"/>
    </xf>
    <xf numFmtId="0" fontId="43" fillId="7" borderId="20" xfId="0" applyFont="1" applyFill="1" applyBorder="1" applyAlignment="1">
      <alignment horizontal="left"/>
    </xf>
    <xf numFmtId="0" fontId="43" fillId="7" borderId="36" xfId="0" applyFont="1" applyFill="1" applyBorder="1" applyAlignment="1">
      <alignment horizontal="left"/>
    </xf>
    <xf numFmtId="0" fontId="43" fillId="7" borderId="37" xfId="0" applyFont="1" applyFill="1" applyBorder="1" applyAlignment="1">
      <alignment horizontal="left"/>
    </xf>
    <xf numFmtId="0" fontId="31" fillId="0" borderId="1" xfId="0" applyFont="1" applyBorder="1" applyAlignment="1">
      <alignment horizontal="center"/>
    </xf>
    <xf numFmtId="0" fontId="3" fillId="2" borderId="1" xfId="0" applyFont="1" applyFill="1" applyBorder="1" applyAlignment="1" applyProtection="1">
      <alignment horizontal="center" vertical="center" wrapText="1" readingOrder="1"/>
      <protection locked="0"/>
    </xf>
  </cellXfs>
  <cellStyles count="9">
    <cellStyle name="Millares" xfId="3" builtinId="3"/>
    <cellStyle name="Millares [0]" xfId="4" builtinId="6"/>
    <cellStyle name="Moneda" xfId="8" builtinId="4"/>
    <cellStyle name="Normal" xfId="0" builtinId="0"/>
    <cellStyle name="Normal 10 2" xfId="2"/>
    <cellStyle name="Normal 2" xfId="6"/>
    <cellStyle name="Normal 2 2" xfId="1"/>
    <cellStyle name="Normal 2 5" xfId="5"/>
    <cellStyle name="Porcentaje" xfId="7" builtinId="5"/>
  </cellStyles>
  <dxfs count="312">
    <dxf>
      <font>
        <color theme="0"/>
      </font>
    </dxf>
    <dxf>
      <font>
        <color theme="0"/>
      </font>
    </dxf>
    <dxf>
      <font>
        <color theme="0"/>
      </font>
    </dxf>
    <dxf>
      <font>
        <color theme="0"/>
      </font>
    </dxf>
    <dxf>
      <font>
        <color theme="0"/>
      </font>
    </dxf>
    <dxf>
      <font>
        <color theme="0"/>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sz val="8"/>
        <color auto="1"/>
        <name val="Arial"/>
        <scheme val="none"/>
      </font>
      <fill>
        <patternFill patternType="solid">
          <fgColor indexed="64"/>
          <bgColor rgb="FF92D050"/>
        </patternFill>
      </fill>
      <alignment horizontal="center" vertical="center" readingOrder="0"/>
      <protection hidden="1"/>
    </dxf>
    <dxf>
      <alignment wrapText="1" readingOrder="0"/>
    </dxf>
    <dxf>
      <alignment wrapText="1" readingOrder="0"/>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sz val="8"/>
        <color auto="1"/>
        <name val="Arial"/>
        <scheme val="none"/>
      </font>
      <fill>
        <patternFill patternType="solid">
          <fgColor indexed="64"/>
          <bgColor rgb="FF92D050"/>
        </patternFill>
      </fill>
      <alignment horizontal="center" vertical="center" readingOrder="0"/>
      <protection hidden="1"/>
    </dxf>
    <dxf>
      <alignment wrapText="1" readingOrder="0"/>
    </dxf>
    <dxf>
      <alignment wrapText="1" readingOrder="0"/>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F0"/>
      </font>
      <fill>
        <patternFill>
          <bgColor rgb="FF00B050"/>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aria Yenifer Prada Peña" id="{D1786AB3-8264-4B6B-921F-0837A47806C8}" userId="S::myprada@alcaldiabogota.gov.co::ec9ccabe-406a-41b6-8453-e3630021d71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Yenifer Prada Peña" refreshedDate="45497.633630208336" createdVersion="6" refreshedVersion="6" minRefreshableVersion="3" recordCount="129">
  <cacheSource type="worksheet">
    <worksheetSource ref="AK1:BK130" sheet="INSUMOS Y MAQUINARIA"/>
  </cacheSource>
  <cacheFields count="27">
    <cacheField name="SEDE 1 - MANZANA LIEVANO - ALCALDÍA MAYOR" numFmtId="43">
      <sharedItems containsSemiMixedTypes="0" containsString="0" containsNumber="1" minValue="0" maxValue="5439281.6385000004"/>
    </cacheField>
    <cacheField name="SEDE 2- DIRECCIÓN DISTRITAL DE ARCHIVO DE  BOGOTA " numFmtId="43">
      <sharedItems containsSemiMixedTypes="0" containsString="0" containsNumber="1" minValue="0" maxValue="483491.70120000001"/>
    </cacheField>
    <cacheField name="SEDE 3 - IMPRENTA DISTRITAL" numFmtId="43">
      <sharedItems containsSemiMixedTypes="0" containsString="0" containsNumber="1" minValue="0" maxValue="483491.70120000001"/>
    </cacheField>
    <cacheField name="SEDE 4 - SEDE ALTERNA RESTREPO " numFmtId="43">
      <sharedItems containsSemiMixedTypes="0" containsString="0" containsNumber="1" minValue="0" maxValue="63956.229448079401"/>
    </cacheField>
    <cacheField name="SEDE 5 - SUPERCADE CAD CARRERA " numFmtId="43">
      <sharedItems containsSemiMixedTypes="0" containsString="0" containsNumber="1" minValue="0" maxValue="941408.07551999984"/>
    </cacheField>
    <cacheField name="SEDE 6 - SUPERCADE AMERICAS " numFmtId="43">
      <sharedItems containsSemiMixedTypes="0" containsString="0" containsNumber="1" minValue="0" maxValue="441285.03539999994"/>
    </cacheField>
    <cacheField name="SEDE 7 - SUPERCADE BOSA " numFmtId="43">
      <sharedItems containsSemiMixedTypes="0" containsString="0" containsNumber="1" minValue="0" maxValue="294190.02359999996"/>
    </cacheField>
    <cacheField name="SEDE 8 - SUPERCADE CALLE 13 " numFmtId="43">
      <sharedItems containsSemiMixedTypes="0" containsString="0" containsNumber="1" minValue="0" maxValue="203401.40782885917"/>
    </cacheField>
    <cacheField name="SEDE 9 - SUPERCADE 20 DE JULIO " numFmtId="43">
      <sharedItems containsSemiMixedTypes="0" containsString="0" containsNumber="1" minValue="0" maxValue="604364.62650000001"/>
    </cacheField>
    <cacheField name="SEDE 10 - SUPERCADE MANITAS " numFmtId="43">
      <sharedItems containsSemiMixedTypes="0" containsString="0" containsNumber="1" minValue="0" maxValue="441285.03539999994"/>
    </cacheField>
    <cacheField name="SEDE 11 - SUPERCADE SUBA " numFmtId="43">
      <sharedItems containsSemiMixedTypes="0" containsString="0" containsNumber="1" minValue="0" maxValue="725237.55180000002"/>
    </cacheField>
    <cacheField name="SEDE 12 - SUPERCADE SOCIAL" numFmtId="43">
      <sharedItems containsSemiMixedTypes="0" containsString="0" containsNumber="1" minValue="0" maxValue="437315.38290000003"/>
    </cacheField>
    <cacheField name="SEDE 13 - CADE SERVITA " numFmtId="43">
      <sharedItems containsSemiMixedTypes="0" containsString="0" containsNumber="1" minValue="0" maxValue="202081.5528"/>
    </cacheField>
    <cacheField name="SEDE 14 - CADE LA VICTORIA " numFmtId="43">
      <sharedItems containsSemiMixedTypes="0" containsString="0" containsNumber="1" minValue="0" maxValue="294190.02359999996"/>
    </cacheField>
    <cacheField name="SEDE 15 - CADE LA GAITANA " numFmtId="43">
      <sharedItems containsSemiMixedTypes="0" containsString="0" containsNumber="1" minValue="0" maxValue="294190.02359999996"/>
    </cacheField>
    <cacheField name="SEDE 16 - SUPERCADE ENGATIVA " numFmtId="43">
      <sharedItems containsSemiMixedTypes="0" containsString="0" containsNumber="1" minValue="0" maxValue="483491.70120000001"/>
    </cacheField>
    <cacheField name="SEDE 17 - CADE LOS LUCEROS " numFmtId="43">
      <sharedItems containsSemiMixedTypes="0" containsString="0" containsNumber="1" minValue="0" maxValue="294190.02359999996"/>
    </cacheField>
    <cacheField name="SEDE 18 - CENTRO DE MEMORIA, PAZ Y RECONCILIACIÓN " numFmtId="43">
      <sharedItems containsSemiMixedTypes="0" containsString="0" containsNumber="1" minValue="0" maxValue="241745.85060000001"/>
    </cacheField>
    <cacheField name="SEDE 19 - CENTRO DE ENCUENTRO BOSA " numFmtId="43">
      <sharedItems containsSemiMixedTypes="0" containsString="0" containsNumber="1" minValue="0" maxValue="220642.51769999997"/>
    </cacheField>
    <cacheField name="SEDE 20 - CENTRO DE ENCUENTRO CHAPINERO " numFmtId="43">
      <sharedItems containsSemiMixedTypes="0" containsString="0" containsNumber="1" minValue="0" maxValue="483491.70120000001"/>
    </cacheField>
    <cacheField name="SEDE 21 - CENTRO DE ENCUENTRO CIUDAD BOLIVAR " numFmtId="43">
      <sharedItems containsSemiMixedTypes="0" containsString="0" containsNumber="1" minValue="0" maxValue="151561.16459999999"/>
    </cacheField>
    <cacheField name="SEDE 22 - CENTRO DE ENCUENTRO KENNEDY PATIO BONITO " numFmtId="43">
      <sharedItems containsSemiMixedTypes="0" containsString="0" containsNumber="1" minValue="0" maxValue="201298.02899999998"/>
    </cacheField>
    <cacheField name="SEDE 23 - CENTRO DE ENCUENTRO RAFAEL URIBE " numFmtId="43">
      <sharedItems containsSemiMixedTypes="0" containsString="0" containsNumber="1" minValue="0" maxValue="302182.31325000001"/>
    </cacheField>
    <cacheField name="SEDE 24 - CENTRO DE ENCUENTRO SUBA " numFmtId="43">
      <sharedItems containsSemiMixedTypes="0" containsString="0" containsNumber="1" minValue="0" maxValue="241745.85060000001"/>
    </cacheField>
    <cacheField name="SEDE 25 - SEDE ALTERNA TEQUENDAMA" numFmtId="43">
      <sharedItems containsSemiMixedTypes="0" containsString="0" containsNumber="1" minValue="0" maxValue="483491.70120000001"/>
    </cacheField>
    <cacheField name="RUBRO" numFmtId="0">
      <sharedItems containsBlank="1" count="43">
        <s v="O2120201003053532103"/>
        <s v="O2120201003053532101"/>
        <s v="O2120201003053532104"/>
        <s v="O2120201003053532105"/>
        <s v="O2120201003043466401"/>
        <s v="O2120201003033335004"/>
        <s v="O2120201003053532201"/>
        <s v="O2120201003053532204"/>
        <s v="O2120201003043424014"/>
        <s v="O2120201003053533202"/>
        <s v="O2120201003053549945"/>
        <s v="O2120201003053533102"/>
        <s v="O2120201003033335001"/>
        <s v="O2120201002072792104"/>
        <s v="O2120201002072719009"/>
        <s v="O2120201004024291231"/>
        <s v="O2120201003083899302"/>
        <s v="O2120201004024299201"/>
        <s v="O2120201003083899303"/>
        <s v="O2120201002072732007"/>
        <s v="O2120201003063641001"/>
        <s v="O2120201002082823803"/>
        <s v="O2120201003023213101"/>
        <s v="O2120201003023219304"/>
        <s v="O2120201003023219303"/>
        <s v="O2120201003023219907"/>
        <s v="O2120201003013191409"/>
        <s v="O2120201003023213102"/>
        <s v="O2120201002072719007"/>
        <s v="O2120201003073719199"/>
        <m/>
        <s v="O2120201002032381302"/>
        <s v="O2120201002032382103"/>
        <s v="O2120201002032352001"/>
        <s v="O2120201002032399921"/>
        <s v="O2120201002032391101"/>
        <s v="O2120201002042441001"/>
        <s v="O2120201003063694016"/>
        <s v="O21202020070373122"/>
        <s v="O2120201003073719305"/>
        <s v="O2120201003073722101"/>
        <s v="O2120201003063694012"/>
        <s v="O21202020070373230"/>
      </sharedItems>
    </cacheField>
    <cacheField name="NOMBRE RUBRO" numFmtId="0">
      <sharedItems containsBlank="1" count="43">
        <s v="Jabones líquidos para lavar"/>
        <s v="Jabones en pasta para lavar"/>
        <s v="Jabones industriales"/>
        <s v="Jabones de tocador"/>
        <s v="Desinfectantes"/>
        <s v="Varsol-disolvente núm. 4"/>
        <s v="Detergentes en polvo"/>
        <s v="Preparaciones para limpiar vidrios"/>
        <s v="Hipoclorito de sodio"/>
        <s v="Ceras para pisos"/>
        <s v="Productos químicos especiales para tratamiento de pisos"/>
        <s v="Purificadores líquidos de ambiente"/>
        <s v="Solventes para insecticida"/>
        <s v="Fieltros de algodón"/>
        <s v=" Paños absorbentes desechables para uso doméstico"/>
        <s v="Esponjas y esponjillas metálicas"/>
        <s v="Escobas"/>
        <s v="Mangos metálicos"/>
        <s v="Cepillos para lavar o fregar"/>
        <s v=" Mechas para trapero"/>
        <s v="Bolsas de material plástico sin impresión"/>
        <s v="Guantes de fibras artificiales y sintéticas"/>
        <s v="Papel del tipo utilizado para papel higiénico"/>
        <s v="Toallas de papel"/>
        <s v="Pañuelos de papel"/>
        <s v="Vasos de papel o cartón"/>
        <s v="Aplicadores, bajalenguas y otros para usos higiénicos, de madera"/>
        <s v="Papel para servilletas, toallas y similares"/>
        <s v="Filtros de material textil, para usos técnicos e industriales"/>
        <s v="Envases n.c.p. de vidrio"/>
        <m/>
        <s v=" Café molido"/>
        <s v=" Café instantáneo aglomerado o atomizado"/>
        <s v="Azúcar refinada"/>
        <s v="Productos aromáticos diversos"/>
        <s v="Té elaborado"/>
        <s v="Agua purificada (envasada)"/>
        <s v="Recogedores plásticos de basura"/>
        <s v="Servicios de arrendamiento o de alquiler de maquinaria y equipo de construcción sin operario"/>
        <s v="Vasos y jarros de vidrio"/>
        <s v="Vajillas de loza-pedernal"/>
        <s v="Recipientes de material plástico-canecas para la basura"/>
        <s v="Servicios de arrendamiento sin opción de compra de muebles y otros aparatos domést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9">
  <r>
    <n v="422313.28560000006"/>
    <n v="26394.580350000004"/>
    <n v="26394.580350000004"/>
    <n v="0"/>
    <n v="26394.580350000004"/>
    <n v="0"/>
    <n v="43990.967250000002"/>
    <n v="0"/>
    <n v="17596.386900000001"/>
    <n v="26394.580350000004"/>
    <n v="26394.580350000004"/>
    <n v="0"/>
    <n v="0"/>
    <n v="0"/>
    <n v="26394.580350000004"/>
    <n v="0"/>
    <n v="26394.580350000004"/>
    <n v="43990.967250000002"/>
    <n v="0"/>
    <n v="0"/>
    <n v="26394.580350000004"/>
    <n v="17596.386900000001"/>
    <n v="0"/>
    <n v="0"/>
    <n v="0"/>
    <x v="0"/>
    <x v="0"/>
  </r>
  <r>
    <n v="22827.734280000001"/>
    <n v="5267.9386800000002"/>
    <n v="0"/>
    <n v="0"/>
    <n v="5267.9386800000002"/>
    <n v="0"/>
    <n v="10535.87736"/>
    <n v="0"/>
    <n v="5267.9386800000002"/>
    <n v="5267.9386800000002"/>
    <n v="3511.95912"/>
    <n v="8779.8978000000006"/>
    <n v="5267.9386800000002"/>
    <n v="0"/>
    <n v="5267.9386800000002"/>
    <n v="0"/>
    <n v="5267.9386800000002"/>
    <n v="0"/>
    <n v="0"/>
    <n v="0"/>
    <n v="5267.9386800000002"/>
    <n v="0"/>
    <n v="0"/>
    <n v="0"/>
    <n v="5267.9386800000002"/>
    <x v="1"/>
    <x v="1"/>
  </r>
  <r>
    <n v="11988.01485"/>
    <n v="7192.8089099999997"/>
    <n v="0"/>
    <n v="0"/>
    <n v="7192.8089099999997"/>
    <n v="0"/>
    <n v="7192.8089099999997"/>
    <n v="0"/>
    <n v="7192.8089099999997"/>
    <n v="7192.8089099999997"/>
    <n v="7192.8089099999997"/>
    <n v="9590.4118799999997"/>
    <n v="0"/>
    <n v="0"/>
    <n v="7192.8089099999997"/>
    <n v="0"/>
    <n v="7192.8089099999997"/>
    <n v="0"/>
    <n v="0"/>
    <n v="0"/>
    <n v="2397.6029699999999"/>
    <n v="0"/>
    <n v="4795.2059399999998"/>
    <n v="0"/>
    <n v="0"/>
    <x v="2"/>
    <x v="2"/>
  </r>
  <r>
    <n v="72795.515520000001"/>
    <n v="4199.7412800000002"/>
    <n v="0"/>
    <n v="0"/>
    <n v="11199.310079999999"/>
    <n v="0"/>
    <n v="4199.7412800000002"/>
    <n v="0"/>
    <n v="4199.7412800000002"/>
    <n v="4199.7412800000002"/>
    <n v="2799.8275199999998"/>
    <n v="0"/>
    <n v="0"/>
    <n v="0"/>
    <n v="4199.7412800000002"/>
    <n v="0"/>
    <n v="4199.7412800000002"/>
    <n v="8399.4825600000004"/>
    <n v="0"/>
    <n v="0"/>
    <n v="4199.7412800000002"/>
    <n v="0"/>
    <n v="0"/>
    <n v="0"/>
    <n v="0"/>
    <x v="3"/>
    <x v="3"/>
  </r>
  <r>
    <n v="91970.990460000015"/>
    <n v="0"/>
    <n v="0"/>
    <n v="0"/>
    <n v="20437.997880000003"/>
    <n v="0"/>
    <n v="30656.996820000004"/>
    <n v="0"/>
    <n v="0"/>
    <n v="0"/>
    <n v="10218.998940000001"/>
    <n v="0"/>
    <n v="0"/>
    <n v="0"/>
    <n v="20437.997880000003"/>
    <n v="0"/>
    <n v="20437.997880000003"/>
    <n v="25547.497350000005"/>
    <n v="0"/>
    <n v="0"/>
    <n v="5109.4994700000007"/>
    <n v="10218.998940000001"/>
    <n v="15328.498410000002"/>
    <n v="10218.998940000001"/>
    <n v="0"/>
    <x v="4"/>
    <x v="4"/>
  </r>
  <r>
    <n v="293471.96130000002"/>
    <n v="19564.797420000003"/>
    <n v="0"/>
    <n v="0"/>
    <n v="32607.995699999999"/>
    <n v="0"/>
    <n v="19564.797420000003"/>
    <n v="0"/>
    <n v="19564.797420000003"/>
    <n v="0"/>
    <n v="19564.797420000003"/>
    <n v="0"/>
    <n v="0"/>
    <n v="0"/>
    <n v="19564.797420000003"/>
    <n v="0"/>
    <n v="19564.797420000003"/>
    <n v="26086.396560000001"/>
    <n v="0"/>
    <n v="0"/>
    <n v="6521.5991400000003"/>
    <n v="0"/>
    <n v="19564.797420000003"/>
    <n v="0"/>
    <n v="0"/>
    <x v="5"/>
    <x v="5"/>
  </r>
  <r>
    <n v="19906.058850000001"/>
    <n v="0"/>
    <n v="0"/>
    <n v="0"/>
    <n v="15924.84708"/>
    <n v="0"/>
    <n v="19906.058850000001"/>
    <n v="0"/>
    <n v="11943.63531"/>
    <n v="11943.63531"/>
    <n v="11943.63531"/>
    <n v="0"/>
    <n v="11943.63531"/>
    <n v="0"/>
    <n v="11943.63531"/>
    <n v="0"/>
    <n v="11943.63531"/>
    <n v="11943.63531"/>
    <n v="0"/>
    <n v="0"/>
    <n v="11943.63531"/>
    <n v="0"/>
    <n v="11943.63531"/>
    <n v="0"/>
    <n v="0"/>
    <x v="6"/>
    <x v="6"/>
  </r>
  <r>
    <n v="210064.94639999999"/>
    <n v="0"/>
    <n v="0"/>
    <n v="0"/>
    <n v="0"/>
    <n v="0"/>
    <n v="37344.879359999999"/>
    <n v="28008.659520000001"/>
    <n v="37344.879359999999"/>
    <n v="0"/>
    <n v="23340.549599999998"/>
    <n v="0"/>
    <n v="9336.2198399999997"/>
    <n v="0"/>
    <n v="18672.439679999999"/>
    <n v="0"/>
    <n v="18672.439679999999"/>
    <n v="14004.329760000001"/>
    <n v="0"/>
    <n v="14004.329760000001"/>
    <n v="14004.329760000001"/>
    <n v="0"/>
    <n v="14004.329760000001"/>
    <n v="0"/>
    <n v="0"/>
    <x v="4"/>
    <x v="4"/>
  </r>
  <r>
    <n v="0"/>
    <n v="0"/>
    <n v="0"/>
    <n v="0"/>
    <n v="23359.706880000002"/>
    <n v="0"/>
    <n v="14599.816800000001"/>
    <n v="0"/>
    <n v="23359.706880000002"/>
    <n v="0"/>
    <n v="17519.780160000002"/>
    <n v="29199.633600000001"/>
    <n v="29199.633600000001"/>
    <n v="0"/>
    <n v="26279.670240000003"/>
    <n v="116798.5344"/>
    <n v="26279.670240000003"/>
    <n v="17519.780160000002"/>
    <n v="87598.900800000003"/>
    <n v="29199.633600000001"/>
    <n v="58399.267200000002"/>
    <n v="58399.267200000002"/>
    <n v="0"/>
    <n v="29199.633600000001"/>
    <n v="87598.900800000003"/>
    <x v="4"/>
    <x v="4"/>
  </r>
  <r>
    <n v="178645.4406"/>
    <n v="19849.493399999999"/>
    <n v="0"/>
    <n v="0"/>
    <n v="19849.493399999999"/>
    <n v="0"/>
    <n v="19849.493399999999"/>
    <n v="0"/>
    <n v="19849.493399999999"/>
    <n v="19849.493399999999"/>
    <n v="19849.493399999999"/>
    <n v="0"/>
    <n v="0"/>
    <n v="0"/>
    <n v="19849.493399999999"/>
    <n v="19849.493399999999"/>
    <n v="19849.493399999999"/>
    <n v="0"/>
    <n v="0"/>
    <n v="0"/>
    <n v="7939.7973599999996"/>
    <n v="7939.7973599999996"/>
    <n v="0"/>
    <n v="0"/>
    <n v="0"/>
    <x v="7"/>
    <x v="7"/>
  </r>
  <r>
    <n v="216803.45250000001"/>
    <n v="19271.418000000001"/>
    <n v="19271.418000000001"/>
    <n v="0"/>
    <n v="52996.399500000007"/>
    <n v="0"/>
    <n v="28907.127"/>
    <n v="19271.418000000001"/>
    <n v="38542.836000000003"/>
    <n v="19271.418000000001"/>
    <n v="19271.418000000001"/>
    <n v="48178.545000000006"/>
    <n v="14453.5635"/>
    <n v="0"/>
    <n v="19271.418000000001"/>
    <n v="72267.817500000005"/>
    <n v="19271.418000000001"/>
    <n v="48178.545000000006"/>
    <n v="0"/>
    <n v="48178.545000000006"/>
    <n v="24089.272500000003"/>
    <n v="28907.127"/>
    <n v="19271.418000000001"/>
    <n v="9635.7090000000007"/>
    <n v="24089.272500000003"/>
    <x v="8"/>
    <x v="8"/>
  </r>
  <r>
    <n v="839119.63650000014"/>
    <n v="100694.35638000001"/>
    <n v="0"/>
    <n v="0"/>
    <n v="201388.71276000002"/>
    <n v="0"/>
    <n v="100694.35638000001"/>
    <n v="100694.35638000001"/>
    <n v="0"/>
    <n v="134259.14184000003"/>
    <n v="134259.14184000003"/>
    <n v="0"/>
    <n v="0"/>
    <n v="0"/>
    <n v="0"/>
    <n v="0"/>
    <n v="0"/>
    <n v="83911.96365000002"/>
    <n v="0"/>
    <n v="50347.178190000006"/>
    <n v="33564.785460000006"/>
    <n v="0"/>
    <n v="0"/>
    <n v="0"/>
    <n v="0"/>
    <x v="9"/>
    <x v="9"/>
  </r>
  <r>
    <n v="1603489.7372999999"/>
    <n v="58308.717720000001"/>
    <n v="0"/>
    <n v="0"/>
    <n v="349852.30631999997"/>
    <n v="0"/>
    <n v="145771.79430000001"/>
    <n v="58308.717720000001"/>
    <n v="58308.717720000001"/>
    <n v="58308.717720000001"/>
    <n v="58308.717720000001"/>
    <n v="437315.38290000003"/>
    <n v="0"/>
    <n v="0"/>
    <n v="58308.717720000001"/>
    <n v="233234.87088"/>
    <n v="58308.717720000001"/>
    <n v="145771.79430000001"/>
    <n v="0"/>
    <n v="145771.79430000001"/>
    <n v="0"/>
    <n v="0"/>
    <n v="0"/>
    <n v="0"/>
    <n v="0"/>
    <x v="10"/>
    <x v="10"/>
  </r>
  <r>
    <n v="799115.946"/>
    <n v="47946.956760000001"/>
    <n v="0"/>
    <n v="0"/>
    <n v="143840.87028"/>
    <n v="0"/>
    <n v="0"/>
    <n v="0"/>
    <n v="0"/>
    <n v="47946.956760000001"/>
    <n v="31964.637839999999"/>
    <n v="207770.14595999999"/>
    <n v="0"/>
    <n v="0"/>
    <n v="47946.956760000001"/>
    <n v="0"/>
    <n v="47946.956760000001"/>
    <n v="63929.275679999999"/>
    <n v="0"/>
    <n v="47946.956760000001"/>
    <n v="79911.594599999997"/>
    <n v="0"/>
    <n v="0"/>
    <n v="0"/>
    <n v="0"/>
    <x v="9"/>
    <x v="9"/>
  </r>
  <r>
    <n v="362327.10854999995"/>
    <n v="0"/>
    <n v="13175.531219999999"/>
    <n v="0"/>
    <n v="79053.187319999997"/>
    <n v="0"/>
    <n v="32938.828049999996"/>
    <n v="0"/>
    <n v="13175.531219999999"/>
    <n v="13175.531219999999"/>
    <n v="19763.296829999999"/>
    <n v="0"/>
    <n v="0"/>
    <n v="0"/>
    <n v="13175.531219999999"/>
    <n v="52702.124879999996"/>
    <n v="13175.531219999999"/>
    <n v="26351.062439999998"/>
    <n v="52702.124879999996"/>
    <n v="0"/>
    <n v="32938.828049999996"/>
    <n v="0"/>
    <n v="19763.296829999999"/>
    <n v="0"/>
    <n v="0"/>
    <x v="10"/>
    <x v="10"/>
  </r>
  <r>
    <n v="155118.37607999999"/>
    <n v="0"/>
    <n v="0"/>
    <n v="0"/>
    <n v="0"/>
    <n v="0"/>
    <n v="0"/>
    <n v="0"/>
    <n v="19389.797009999998"/>
    <n v="19389.797009999998"/>
    <n v="19389.797009999998"/>
    <n v="0"/>
    <n v="12926.53134"/>
    <n v="0"/>
    <n v="19389.797009999998"/>
    <n v="12926.53134"/>
    <n v="19389.797009999998"/>
    <n v="38779.594019999997"/>
    <n v="0"/>
    <n v="0"/>
    <n v="12926.53134"/>
    <n v="0"/>
    <n v="12926.53134"/>
    <n v="0"/>
    <n v="0"/>
    <x v="10"/>
    <x v="10"/>
  </r>
  <r>
    <n v="0"/>
    <n v="0"/>
    <n v="0"/>
    <n v="0"/>
    <n v="42501.399210000003"/>
    <n v="0"/>
    <n v="0"/>
    <n v="0"/>
    <n v="42501.399210000003"/>
    <n v="0"/>
    <n v="42501.399210000003"/>
    <n v="0"/>
    <n v="0"/>
    <n v="0"/>
    <n v="42501.399210000003"/>
    <n v="0"/>
    <n v="42501.399210000003"/>
    <n v="0"/>
    <n v="0"/>
    <n v="0"/>
    <n v="0"/>
    <n v="0"/>
    <n v="0"/>
    <n v="0"/>
    <n v="0"/>
    <x v="5"/>
    <x v="5"/>
  </r>
  <r>
    <n v="188799.82847999997"/>
    <n v="0"/>
    <n v="15733.319039999998"/>
    <n v="0"/>
    <n v="26222.198399999997"/>
    <n v="0"/>
    <n v="31466.638079999997"/>
    <n v="0"/>
    <n v="10488.879359999999"/>
    <n v="15733.319039999998"/>
    <n v="10488.879359999999"/>
    <n v="10488.879359999999"/>
    <n v="15733.319039999998"/>
    <n v="15733.319039999998"/>
    <n v="15733.319039999998"/>
    <n v="0"/>
    <n v="15733.319039999998"/>
    <n v="31466.638079999997"/>
    <n v="26222.198399999997"/>
    <n v="31466.638079999997"/>
    <n v="31466.638079999997"/>
    <n v="15733.319039999998"/>
    <n v="15733.319039999998"/>
    <n v="0"/>
    <n v="10488.879359999999"/>
    <x v="11"/>
    <x v="11"/>
  </r>
  <r>
    <n v="69952.047000000006"/>
    <n v="0"/>
    <n v="13990.4094"/>
    <n v="0"/>
    <n v="41971.228199999998"/>
    <n v="0"/>
    <n v="0"/>
    <n v="0"/>
    <n v="13990.4094"/>
    <n v="13990.4094"/>
    <n v="20985.614099999999"/>
    <n v="13990.4094"/>
    <n v="20985.614099999999"/>
    <n v="13990.4094"/>
    <n v="13990.4094"/>
    <n v="174880.11749999999"/>
    <n v="13990.4094"/>
    <n v="0"/>
    <n v="69952.047000000006"/>
    <n v="34976.023500000003"/>
    <n v="20985.614099999999"/>
    <n v="0"/>
    <n v="20985.614099999999"/>
    <n v="0"/>
    <n v="0"/>
    <x v="11"/>
    <x v="11"/>
  </r>
  <r>
    <n v="44125.918649999992"/>
    <n v="0"/>
    <n v="0"/>
    <n v="0"/>
    <n v="0"/>
    <n v="0"/>
    <n v="0"/>
    <n v="0"/>
    <n v="0"/>
    <n v="0"/>
    <n v="35300.734919999995"/>
    <n v="44125.918649999992"/>
    <n v="0"/>
    <n v="0"/>
    <n v="0"/>
    <n v="0"/>
    <n v="0"/>
    <n v="0"/>
    <n v="0"/>
    <n v="0"/>
    <n v="0"/>
    <n v="8825.1837299999988"/>
    <n v="0"/>
    <n v="8825.1837299999988"/>
    <n v="0"/>
    <x v="12"/>
    <x v="12"/>
  </r>
  <r>
    <n v="100649.01449999999"/>
    <n v="0"/>
    <n v="0"/>
    <n v="0"/>
    <n v="40259.605799999998"/>
    <n v="0"/>
    <n v="0"/>
    <n v="0"/>
    <n v="0"/>
    <n v="0"/>
    <n v="20129.802899999999"/>
    <n v="0"/>
    <n v="30194.70435"/>
    <n v="0"/>
    <n v="30194.70435"/>
    <n v="0"/>
    <n v="30194.70435"/>
    <n v="0"/>
    <n v="100649.01449999999"/>
    <n v="0"/>
    <n v="0"/>
    <n v="201298.02899999998"/>
    <n v="0"/>
    <n v="50324.507249999995"/>
    <n v="20129.802899999999"/>
    <x v="12"/>
    <x v="12"/>
  </r>
  <r>
    <n v="34851.366900000001"/>
    <n v="4646.8489200000004"/>
    <n v="4646.8489200000004"/>
    <n v="0"/>
    <n v="13940.546760000001"/>
    <n v="0"/>
    <n v="5808.5611500000005"/>
    <n v="0"/>
    <n v="4646.8489200000004"/>
    <n v="4646.8489200000004"/>
    <n v="9293.6978400000007"/>
    <n v="0"/>
    <n v="2323.4244600000002"/>
    <n v="0"/>
    <n v="4646.8489200000004"/>
    <n v="13940.546760000001"/>
    <n v="0"/>
    <n v="6970.2733800000005"/>
    <n v="0"/>
    <n v="0"/>
    <n v="0"/>
    <n v="5808.5611500000005"/>
    <n v="4646.8489200000004"/>
    <n v="0"/>
    <n v="0"/>
    <x v="13"/>
    <x v="13"/>
  </r>
  <r>
    <n v="28694.740800000003"/>
    <n v="2869.4740800000004"/>
    <n v="2869.4740800000004"/>
    <n v="0"/>
    <n v="2869.4740800000004"/>
    <n v="0"/>
    <n v="0"/>
    <n v="0"/>
    <n v="2869.4740800000004"/>
    <n v="2869.4740800000004"/>
    <n v="11477.896320000002"/>
    <n v="0"/>
    <n v="2869.4740800000004"/>
    <n v="0"/>
    <n v="2869.4740800000004"/>
    <n v="14347.370400000002"/>
    <n v="2869.4740800000004"/>
    <n v="0"/>
    <n v="0"/>
    <n v="7173.6852000000008"/>
    <n v="0"/>
    <n v="7173.6852000000008"/>
    <n v="0"/>
    <n v="0"/>
    <n v="0"/>
    <x v="13"/>
    <x v="13"/>
  </r>
  <r>
    <n v="0"/>
    <n v="0"/>
    <n v="0"/>
    <n v="0"/>
    <n v="0"/>
    <n v="0"/>
    <n v="0"/>
    <n v="0"/>
    <n v="0"/>
    <n v="0"/>
    <n v="11477.896320000002"/>
    <n v="0"/>
    <n v="0"/>
    <n v="0"/>
    <n v="0"/>
    <n v="0"/>
    <n v="0"/>
    <n v="0"/>
    <n v="0"/>
    <n v="0"/>
    <n v="2869.4740800000004"/>
    <n v="0"/>
    <n v="0"/>
    <n v="0"/>
    <n v="4304.2111200000008"/>
    <x v="13"/>
    <x v="13"/>
  </r>
  <r>
    <n v="5808.5611500000005"/>
    <n v="0"/>
    <n v="0"/>
    <n v="0"/>
    <n v="0"/>
    <n v="0"/>
    <n v="0"/>
    <n v="0"/>
    <n v="0"/>
    <n v="0"/>
    <n v="9293.6978400000007"/>
    <n v="0"/>
    <n v="0"/>
    <n v="0"/>
    <n v="0"/>
    <n v="0"/>
    <n v="0"/>
    <n v="0"/>
    <n v="0"/>
    <n v="1161.7122300000001"/>
    <n v="0"/>
    <n v="0"/>
    <n v="0"/>
    <n v="0"/>
    <n v="0"/>
    <x v="13"/>
    <x v="13"/>
  </r>
  <r>
    <n v="0"/>
    <n v="0"/>
    <n v="0"/>
    <n v="0"/>
    <n v="0"/>
    <n v="0"/>
    <n v="0"/>
    <n v="0"/>
    <n v="0"/>
    <n v="0"/>
    <n v="2323.4244600000002"/>
    <n v="0"/>
    <n v="0"/>
    <n v="0"/>
    <n v="0"/>
    <n v="0"/>
    <n v="0"/>
    <n v="0"/>
    <n v="0"/>
    <n v="0"/>
    <n v="0"/>
    <n v="0"/>
    <n v="0"/>
    <n v="0"/>
    <n v="0"/>
    <x v="13"/>
    <x v="13"/>
  </r>
  <r>
    <n v="40351.811399999999"/>
    <n v="10760.483039999999"/>
    <n v="0"/>
    <n v="0"/>
    <n v="16140.724559999999"/>
    <n v="0"/>
    <n v="10760.483039999999"/>
    <n v="0"/>
    <n v="5380.2415199999996"/>
    <n v="0"/>
    <n v="10760.483039999999"/>
    <n v="0"/>
    <n v="0"/>
    <n v="0"/>
    <n v="5380.2415199999996"/>
    <n v="0"/>
    <n v="5380.2415199999996"/>
    <n v="10760.483039999999"/>
    <n v="0"/>
    <n v="0"/>
    <n v="4035.1811399999997"/>
    <n v="0"/>
    <n v="1345.0603799999999"/>
    <n v="0"/>
    <n v="0"/>
    <x v="13"/>
    <x v="13"/>
  </r>
  <r>
    <n v="28694.740800000003"/>
    <n v="11477.896320000002"/>
    <n v="0"/>
    <n v="0"/>
    <n v="22955.792640000003"/>
    <n v="0"/>
    <n v="11477.896320000002"/>
    <n v="0"/>
    <n v="5738.9481600000008"/>
    <n v="0"/>
    <n v="11477.896320000002"/>
    <n v="0"/>
    <n v="0"/>
    <n v="0"/>
    <n v="5738.9481600000008"/>
    <n v="0"/>
    <n v="5738.9481600000008"/>
    <n v="0"/>
    <n v="0"/>
    <n v="0"/>
    <n v="4304.2111200000008"/>
    <n v="0"/>
    <n v="1434.7370400000002"/>
    <n v="0"/>
    <n v="0"/>
    <x v="13"/>
    <x v="13"/>
  </r>
  <r>
    <n v="25142.587200000002"/>
    <n v="10057.034880000001"/>
    <n v="10057.034880000001"/>
    <n v="0"/>
    <n v="10057.034880000001"/>
    <n v="0"/>
    <n v="12571.293600000001"/>
    <n v="0"/>
    <n v="10057.034880000001"/>
    <n v="0"/>
    <n v="2514.2587200000003"/>
    <n v="12571.293600000001"/>
    <n v="0"/>
    <n v="0"/>
    <n v="0"/>
    <n v="18856.940400000003"/>
    <n v="5028.5174400000005"/>
    <n v="10057.034880000001"/>
    <n v="12571.293600000001"/>
    <n v="0"/>
    <n v="3771.3880800000006"/>
    <n v="12571.293600000001"/>
    <n v="6285.6468000000004"/>
    <n v="0"/>
    <n v="3771.3880800000006"/>
    <x v="14"/>
    <x v="14"/>
  </r>
  <r>
    <n v="17230.809600000001"/>
    <n v="0"/>
    <n v="0"/>
    <n v="0"/>
    <n v="0"/>
    <n v="0"/>
    <n v="0"/>
    <n v="0"/>
    <n v="0"/>
    <n v="0"/>
    <n v="9189.76512"/>
    <n v="11487.206399999999"/>
    <n v="0"/>
    <n v="0"/>
    <n v="0"/>
    <n v="0"/>
    <n v="0"/>
    <n v="0"/>
    <n v="0"/>
    <n v="0"/>
    <n v="3446.16192"/>
    <n v="2297.44128"/>
    <n v="0"/>
    <n v="2297.44128"/>
    <n v="3446.16192"/>
    <x v="14"/>
    <x v="14"/>
  </r>
  <r>
    <n v="12053.644200000001"/>
    <n v="4821.4576800000004"/>
    <n v="4821.4576800000004"/>
    <n v="0"/>
    <n v="3616.0932600000006"/>
    <n v="0"/>
    <n v="4821.4576800000004"/>
    <n v="0"/>
    <n v="4821.4576800000004"/>
    <n v="0"/>
    <n v="0"/>
    <n v="6026.8221000000003"/>
    <n v="2410.7288400000002"/>
    <n v="0"/>
    <n v="2410.7288400000002"/>
    <n v="4821.4576800000004"/>
    <n v="2410.7288400000002"/>
    <n v="2410.7288400000002"/>
    <n v="0"/>
    <n v="0"/>
    <n v="1205.3644200000001"/>
    <n v="3013.4110500000002"/>
    <n v="3013.4110500000002"/>
    <n v="0"/>
    <n v="0"/>
    <x v="15"/>
    <x v="15"/>
  </r>
  <r>
    <n v="7577.7560999999996"/>
    <n v="505.18374"/>
    <n v="505.18374"/>
    <n v="0"/>
    <n v="505.18374"/>
    <n v="0"/>
    <n v="0"/>
    <n v="0"/>
    <n v="505.18374"/>
    <n v="0"/>
    <n v="1262.9593500000001"/>
    <n v="0"/>
    <n v="505.18374"/>
    <n v="0"/>
    <n v="505.18374"/>
    <n v="0"/>
    <n v="505.18374"/>
    <n v="0"/>
    <n v="0"/>
    <n v="0"/>
    <n v="757.77561000000003"/>
    <n v="1262.9593500000001"/>
    <n v="2525.9187000000002"/>
    <n v="0"/>
    <n v="1010.36748"/>
    <x v="15"/>
    <x v="15"/>
  </r>
  <r>
    <n v="7577.7560999999996"/>
    <n v="0"/>
    <n v="505.18374"/>
    <n v="0"/>
    <n v="0"/>
    <n v="0"/>
    <n v="2020.73496"/>
    <n v="0"/>
    <n v="2020.73496"/>
    <n v="0"/>
    <n v="757.77561000000003"/>
    <n v="0"/>
    <n v="1010.36748"/>
    <n v="0"/>
    <n v="1010.36748"/>
    <n v="0"/>
    <n v="1010.36748"/>
    <n v="0"/>
    <n v="0"/>
    <n v="0"/>
    <n v="252.59187"/>
    <n v="1262.9593500000001"/>
    <n v="2525.9187000000002"/>
    <n v="0"/>
    <n v="0"/>
    <x v="15"/>
    <x v="15"/>
  </r>
  <r>
    <n v="4234.5198"/>
    <n v="1693.80792"/>
    <n v="423.45197999999999"/>
    <n v="0"/>
    <n v="1693.80792"/>
    <n v="0"/>
    <n v="1693.80792"/>
    <n v="0"/>
    <n v="1693.80792"/>
    <n v="0"/>
    <n v="0"/>
    <n v="0"/>
    <n v="211.72599"/>
    <n v="0"/>
    <n v="846.90395999999998"/>
    <n v="0"/>
    <n v="846.90395999999998"/>
    <n v="0"/>
    <n v="0"/>
    <n v="0"/>
    <n v="211.72599"/>
    <n v="846.90395999999998"/>
    <n v="1058.62995"/>
    <n v="0"/>
    <n v="635.17796999999996"/>
    <x v="15"/>
    <x v="15"/>
  </r>
  <r>
    <n v="3881.5871999999995"/>
    <n v="388.15871999999996"/>
    <n v="388.15871999999996"/>
    <n v="0"/>
    <n v="388.15871999999996"/>
    <n v="0"/>
    <n v="388.15871999999996"/>
    <n v="0"/>
    <n v="388.15871999999996"/>
    <n v="0"/>
    <n v="1358.5555199999999"/>
    <n v="0"/>
    <n v="388.15871999999996"/>
    <n v="0"/>
    <n v="388.15871999999996"/>
    <n v="0"/>
    <n v="388.15871999999996"/>
    <n v="194.07935999999998"/>
    <n v="0"/>
    <n v="0"/>
    <n v="194.07935999999998"/>
    <n v="970.39679999999987"/>
    <n v="0"/>
    <n v="0"/>
    <n v="0"/>
    <x v="15"/>
    <x v="15"/>
  </r>
  <r>
    <n v="37957.822800000002"/>
    <n v="0"/>
    <n v="0"/>
    <n v="0"/>
    <n v="7591.5645599999998"/>
    <n v="0"/>
    <n v="18978.911400000001"/>
    <n v="0"/>
    <n v="0"/>
    <n v="15183.12912"/>
    <n v="0"/>
    <n v="3795.7822799999999"/>
    <n v="0"/>
    <n v="0"/>
    <n v="7591.5645599999998"/>
    <n v="9489.4557000000004"/>
    <n v="7591.5645599999998"/>
    <n v="0"/>
    <n v="0"/>
    <n v="0"/>
    <n v="0"/>
    <n v="9489.4557000000004"/>
    <n v="3795.7822799999999"/>
    <n v="9489.4557000000004"/>
    <n v="1897.89114"/>
    <x v="16"/>
    <x v="16"/>
  </r>
  <r>
    <n v="0"/>
    <n v="0"/>
    <n v="0"/>
    <n v="0"/>
    <n v="4048.8329400000002"/>
    <n v="0"/>
    <n v="0"/>
    <n v="0"/>
    <n v="0"/>
    <n v="0"/>
    <n v="0"/>
    <n v="0"/>
    <n v="0"/>
    <n v="0"/>
    <n v="0"/>
    <n v="4048.8329400000002"/>
    <n v="0"/>
    <n v="0"/>
    <n v="0"/>
    <n v="0"/>
    <n v="0"/>
    <n v="0"/>
    <n v="0"/>
    <n v="0"/>
    <n v="0"/>
    <x v="16"/>
    <x v="16"/>
  </r>
  <r>
    <n v="0"/>
    <n v="0"/>
    <n v="0"/>
    <n v="0"/>
    <n v="0"/>
    <n v="0"/>
    <n v="0"/>
    <n v="0"/>
    <n v="0"/>
    <n v="0"/>
    <n v="0"/>
    <n v="0"/>
    <n v="0"/>
    <n v="0"/>
    <n v="0"/>
    <n v="0"/>
    <n v="0"/>
    <n v="0"/>
    <n v="0"/>
    <n v="0"/>
    <n v="0"/>
    <n v="0"/>
    <n v="0"/>
    <n v="0"/>
    <n v="0"/>
    <x v="16"/>
    <x v="16"/>
  </r>
  <r>
    <n v="0"/>
    <n v="0"/>
    <n v="0"/>
    <n v="0"/>
    <n v="0"/>
    <n v="0"/>
    <n v="0"/>
    <n v="0"/>
    <n v="0"/>
    <n v="0"/>
    <n v="0"/>
    <n v="0"/>
    <n v="0"/>
    <n v="0"/>
    <n v="0"/>
    <n v="0"/>
    <n v="0"/>
    <n v="0"/>
    <n v="0"/>
    <n v="0"/>
    <n v="0"/>
    <n v="0"/>
    <n v="0"/>
    <n v="0"/>
    <n v="0"/>
    <x v="16"/>
    <x v="16"/>
  </r>
  <r>
    <n v="0"/>
    <n v="0"/>
    <n v="0"/>
    <n v="0"/>
    <n v="11620.635960000001"/>
    <n v="0"/>
    <n v="29051.589900000003"/>
    <n v="0"/>
    <n v="11620.635960000001"/>
    <n v="0"/>
    <n v="0"/>
    <n v="14525.794950000001"/>
    <n v="0"/>
    <n v="0"/>
    <n v="0"/>
    <n v="14525.794950000001"/>
    <n v="0"/>
    <n v="0"/>
    <n v="0"/>
    <n v="0"/>
    <n v="0"/>
    <n v="0"/>
    <n v="0"/>
    <n v="0"/>
    <n v="0"/>
    <x v="17"/>
    <x v="17"/>
  </r>
  <r>
    <n v="0"/>
    <n v="0"/>
    <n v="0"/>
    <n v="0"/>
    <n v="5534.6411399999997"/>
    <n v="0"/>
    <n v="0"/>
    <n v="0"/>
    <n v="0"/>
    <n v="0"/>
    <n v="0"/>
    <n v="5534.6411399999997"/>
    <n v="0"/>
    <n v="0"/>
    <n v="0"/>
    <n v="0"/>
    <n v="0"/>
    <n v="5534.6411399999997"/>
    <n v="0"/>
    <n v="0"/>
    <n v="0"/>
    <n v="0"/>
    <n v="0"/>
    <n v="0"/>
    <n v="0"/>
    <x v="18"/>
    <x v="18"/>
  </r>
  <r>
    <n v="0"/>
    <n v="0"/>
    <n v="0"/>
    <n v="0"/>
    <n v="0"/>
    <n v="0"/>
    <n v="0"/>
    <n v="0"/>
    <n v="0"/>
    <n v="0"/>
    <n v="0"/>
    <n v="0"/>
    <n v="0"/>
    <n v="0"/>
    <n v="0"/>
    <n v="0"/>
    <n v="0"/>
    <n v="0"/>
    <n v="0"/>
    <n v="0"/>
    <n v="0"/>
    <n v="0"/>
    <n v="0"/>
    <n v="0"/>
    <n v="0"/>
    <x v="18"/>
    <x v="18"/>
  </r>
  <r>
    <n v="0"/>
    <n v="0"/>
    <n v="0"/>
    <n v="0"/>
    <n v="0"/>
    <n v="0"/>
    <n v="0"/>
    <n v="0"/>
    <n v="0"/>
    <n v="0"/>
    <n v="16295.594159999999"/>
    <n v="0"/>
    <n v="0"/>
    <n v="0"/>
    <n v="0"/>
    <n v="0"/>
    <n v="0"/>
    <n v="0"/>
    <n v="0"/>
    <n v="0"/>
    <n v="0"/>
    <n v="0"/>
    <n v="0"/>
    <n v="0"/>
    <n v="8147.7970799999994"/>
    <x v="19"/>
    <x v="19"/>
  </r>
  <r>
    <n v="0"/>
    <n v="0"/>
    <n v="0"/>
    <n v="0"/>
    <n v="0"/>
    <n v="0"/>
    <n v="0"/>
    <n v="0"/>
    <n v="0"/>
    <n v="40047.219600000004"/>
    <n v="20023.609800000002"/>
    <n v="0"/>
    <n v="0"/>
    <n v="0"/>
    <n v="0"/>
    <n v="0"/>
    <n v="0"/>
    <n v="0"/>
    <n v="0"/>
    <n v="10011.804900000001"/>
    <n v="5005.9024500000005"/>
    <n v="0"/>
    <n v="0"/>
    <n v="0"/>
    <n v="0"/>
    <x v="19"/>
    <x v="19"/>
  </r>
  <r>
    <n v="103304.28959999999"/>
    <n v="41321.715839999997"/>
    <n v="0"/>
    <n v="0"/>
    <n v="77478.217199999999"/>
    <n v="0"/>
    <n v="41321.715839999997"/>
    <n v="0"/>
    <n v="41321.715839999997"/>
    <n v="41321.715839999997"/>
    <n v="25826.072399999997"/>
    <n v="0"/>
    <n v="0"/>
    <n v="0"/>
    <n v="20660.857919999999"/>
    <n v="41321.715839999997"/>
    <n v="20660.857919999999"/>
    <n v="25826.072399999997"/>
    <n v="0"/>
    <n v="10330.428959999999"/>
    <n v="5165.2144799999996"/>
    <n v="0"/>
    <n v="20660.857919999999"/>
    <n v="25826.072399999997"/>
    <n v="0"/>
    <x v="19"/>
    <x v="19"/>
  </r>
  <r>
    <n v="0"/>
    <n v="0"/>
    <n v="0"/>
    <n v="0"/>
    <n v="0"/>
    <n v="0"/>
    <n v="0"/>
    <n v="0"/>
    <n v="12395.34204"/>
    <n v="0"/>
    <n v="30988.355100000001"/>
    <n v="21691.848569999998"/>
    <n v="0"/>
    <n v="0"/>
    <n v="0"/>
    <n v="0"/>
    <n v="0"/>
    <n v="15494.17755"/>
    <n v="0"/>
    <n v="9296.5065299999987"/>
    <n v="3098.8355099999999"/>
    <n v="0"/>
    <n v="0"/>
    <n v="12395.34204"/>
    <n v="0"/>
    <x v="17"/>
    <x v="17"/>
  </r>
  <r>
    <n v="0"/>
    <n v="0"/>
    <n v="0"/>
    <n v="0"/>
    <n v="13483.726200000001"/>
    <n v="0"/>
    <n v="0"/>
    <n v="0"/>
    <n v="0"/>
    <n v="0"/>
    <n v="0"/>
    <n v="5393.4904800000004"/>
    <n v="0"/>
    <n v="0"/>
    <n v="0"/>
    <n v="13483.726200000001"/>
    <n v="0"/>
    <n v="0"/>
    <n v="0"/>
    <n v="0"/>
    <n v="0"/>
    <n v="0"/>
    <n v="0"/>
    <n v="0"/>
    <n v="0"/>
    <x v="18"/>
    <x v="18"/>
  </r>
  <r>
    <n v="229313.76060000004"/>
    <n v="57328.440150000009"/>
    <n v="0"/>
    <n v="0"/>
    <n v="57328.440150000009"/>
    <n v="0"/>
    <n v="57328.440150000009"/>
    <n v="0"/>
    <n v="22931.376060000002"/>
    <n v="0"/>
    <n v="0"/>
    <n v="0"/>
    <n v="0"/>
    <n v="0"/>
    <n v="57328.440150000009"/>
    <n v="0"/>
    <n v="57328.440150000009"/>
    <n v="0"/>
    <n v="0"/>
    <n v="0"/>
    <n v="0"/>
    <n v="0"/>
    <n v="0"/>
    <n v="0"/>
    <n v="0"/>
    <x v="13"/>
    <x v="13"/>
  </r>
  <r>
    <n v="0"/>
    <n v="57328.440150000009"/>
    <n v="0"/>
    <n v="0"/>
    <n v="57328.440150000009"/>
    <n v="0"/>
    <n v="57328.440150000009"/>
    <n v="0"/>
    <n v="22931.376060000002"/>
    <n v="0"/>
    <n v="0"/>
    <n v="0"/>
    <n v="0"/>
    <n v="0"/>
    <n v="57328.440150000009"/>
    <n v="0"/>
    <n v="57328.440150000009"/>
    <n v="0"/>
    <n v="0"/>
    <n v="0"/>
    <n v="0"/>
    <n v="0"/>
    <n v="0"/>
    <n v="0"/>
    <n v="0"/>
    <x v="13"/>
    <x v="13"/>
  </r>
  <r>
    <n v="0"/>
    <n v="0"/>
    <n v="0"/>
    <n v="0"/>
    <n v="0"/>
    <n v="0"/>
    <n v="0"/>
    <n v="0"/>
    <n v="0"/>
    <n v="0"/>
    <n v="0"/>
    <n v="0"/>
    <n v="0"/>
    <n v="75167.985750000007"/>
    <n v="0"/>
    <n v="0"/>
    <n v="0"/>
    <n v="0"/>
    <n v="0"/>
    <n v="0"/>
    <n v="0"/>
    <n v="0"/>
    <n v="0"/>
    <n v="0"/>
    <n v="0"/>
    <x v="13"/>
    <x v="13"/>
  </r>
  <r>
    <n v="30067.194300000003"/>
    <n v="0"/>
    <n v="0"/>
    <n v="0"/>
    <n v="0"/>
    <n v="0"/>
    <n v="0"/>
    <n v="0"/>
    <n v="0"/>
    <n v="0"/>
    <n v="0"/>
    <n v="0"/>
    <n v="0"/>
    <n v="15033.597150000001"/>
    <n v="0"/>
    <n v="0"/>
    <n v="0"/>
    <n v="75167.985750000007"/>
    <n v="0"/>
    <n v="0"/>
    <n v="0"/>
    <n v="0"/>
    <n v="0"/>
    <n v="0"/>
    <n v="0"/>
    <x v="13"/>
    <x v="13"/>
  </r>
  <r>
    <n v="3649.5065999999997"/>
    <n v="0"/>
    <n v="0"/>
    <n v="0"/>
    <n v="0"/>
    <n v="0"/>
    <n v="0"/>
    <n v="0"/>
    <n v="0"/>
    <n v="0"/>
    <n v="0"/>
    <n v="0"/>
    <n v="0"/>
    <n v="0"/>
    <n v="0"/>
    <n v="0"/>
    <n v="0"/>
    <n v="3649.5065999999997"/>
    <n v="0"/>
    <n v="0"/>
    <n v="0"/>
    <n v="0"/>
    <n v="0"/>
    <n v="0"/>
    <n v="0"/>
    <x v="13"/>
    <x v="13"/>
  </r>
  <r>
    <n v="25987.0965"/>
    <n v="7796.1289500000003"/>
    <n v="0"/>
    <n v="0"/>
    <n v="58211.096160000001"/>
    <n v="0"/>
    <n v="7796.1289500000003"/>
    <n v="5197.4193000000005"/>
    <n v="7796.1289500000003"/>
    <n v="0"/>
    <n v="7796.1289500000003"/>
    <n v="0"/>
    <n v="5197.4193000000005"/>
    <n v="2598.7096500000002"/>
    <n v="5197.4193000000005"/>
    <n v="7796.1289500000003"/>
    <n v="5197.4193000000005"/>
    <n v="7796.1289500000003"/>
    <n v="7796.1289500000003"/>
    <n v="5197.4193000000005"/>
    <n v="5197.4193000000005"/>
    <n v="0"/>
    <n v="10394.838600000001"/>
    <n v="0"/>
    <n v="1559.22579"/>
    <x v="20"/>
    <x v="20"/>
  </r>
  <r>
    <n v="0"/>
    <n v="0"/>
    <n v="0"/>
    <n v="0"/>
    <n v="0"/>
    <n v="0"/>
    <n v="0"/>
    <n v="0"/>
    <n v="0"/>
    <n v="0"/>
    <n v="0"/>
    <n v="0"/>
    <n v="3222.3283499999998"/>
    <n v="0"/>
    <n v="0"/>
    <n v="0"/>
    <n v="0"/>
    <n v="0"/>
    <n v="0"/>
    <n v="0"/>
    <n v="0"/>
    <n v="0"/>
    <n v="0"/>
    <n v="0"/>
    <n v="0"/>
    <x v="20"/>
    <x v="20"/>
  </r>
  <r>
    <n v="0"/>
    <n v="0"/>
    <n v="0"/>
    <n v="0"/>
    <n v="17433.572400000001"/>
    <n v="0"/>
    <n v="34867.144800000002"/>
    <n v="11622.381600000001"/>
    <n v="17433.572400000001"/>
    <n v="5811.1908000000003"/>
    <n v="17433.572400000001"/>
    <n v="0"/>
    <n v="11622.381600000001"/>
    <n v="3486.7144800000005"/>
    <n v="11622.381600000001"/>
    <n v="0"/>
    <n v="11622.381600000001"/>
    <n v="17433.572400000001"/>
    <n v="0"/>
    <n v="11622.381600000001"/>
    <n v="0"/>
    <n v="0"/>
    <n v="23244.763200000001"/>
    <n v="0"/>
    <n v="0"/>
    <x v="20"/>
    <x v="20"/>
  </r>
  <r>
    <n v="67253.019"/>
    <n v="0"/>
    <n v="0"/>
    <n v="0"/>
    <n v="388722.44981999998"/>
    <n v="0"/>
    <n v="40351.811399999999"/>
    <n v="0"/>
    <n v="26901.207599999998"/>
    <n v="13450.603799999999"/>
    <n v="26901.207599999998"/>
    <n v="0"/>
    <n v="13450.603799999999"/>
    <n v="13450.603799999999"/>
    <n v="13450.603799999999"/>
    <n v="0"/>
    <n v="13450.603799999999"/>
    <n v="0"/>
    <n v="20175.905699999999"/>
    <n v="13450.603799999999"/>
    <n v="13450.603799999999"/>
    <n v="0"/>
    <n v="0"/>
    <n v="0"/>
    <n v="0"/>
    <x v="20"/>
    <x v="20"/>
  </r>
  <r>
    <n v="35541.957750000001"/>
    <n v="0"/>
    <n v="0"/>
    <n v="0"/>
    <n v="326986.01130000001"/>
    <n v="0"/>
    <n v="0"/>
    <n v="0"/>
    <n v="17060.139719999999"/>
    <n v="14216.783100000001"/>
    <n v="17060.139719999999"/>
    <n v="0"/>
    <n v="14216.783100000001"/>
    <n v="4265.0349299999998"/>
    <n v="8530.0698599999996"/>
    <n v="0"/>
    <n v="8530.0698599999996"/>
    <n v="21325.174650000001"/>
    <n v="21325.174650000001"/>
    <n v="14216.783100000001"/>
    <n v="0"/>
    <n v="0"/>
    <n v="28433.566200000001"/>
    <n v="0"/>
    <n v="0"/>
    <x v="20"/>
    <x v="20"/>
  </r>
  <r>
    <n v="801987.29999999993"/>
    <n v="0"/>
    <n v="0"/>
    <n v="0"/>
    <n v="0"/>
    <n v="0"/>
    <n v="0"/>
    <n v="0"/>
    <n v="0"/>
    <n v="0"/>
    <n v="0"/>
    <n v="0"/>
    <n v="0"/>
    <n v="0"/>
    <n v="0"/>
    <n v="0"/>
    <n v="0"/>
    <n v="0"/>
    <n v="0"/>
    <n v="0"/>
    <n v="0"/>
    <n v="0"/>
    <n v="0"/>
    <n v="0"/>
    <n v="0"/>
    <x v="20"/>
    <x v="20"/>
  </r>
  <r>
    <n v="106386.46320000001"/>
    <n v="21277.292640000003"/>
    <n v="0"/>
    <n v="0"/>
    <n v="0"/>
    <n v="0"/>
    <n v="0"/>
    <n v="0"/>
    <n v="21277.292640000003"/>
    <n v="0"/>
    <n v="0"/>
    <n v="0"/>
    <n v="13298.307900000002"/>
    <n v="0"/>
    <n v="10638.646320000002"/>
    <n v="0"/>
    <n v="10638.646320000002"/>
    <n v="0"/>
    <n v="0"/>
    <n v="26596.615800000003"/>
    <n v="26596.615800000003"/>
    <n v="0"/>
    <n v="0"/>
    <n v="53193.231600000006"/>
    <n v="13298.307900000002"/>
    <x v="20"/>
    <x v="20"/>
  </r>
  <r>
    <n v="0"/>
    <n v="65319.879359999999"/>
    <n v="65319.879359999999"/>
    <n v="0"/>
    <n v="0"/>
    <n v="0"/>
    <n v="0"/>
    <n v="0"/>
    <n v="65319.879359999999"/>
    <n v="0"/>
    <n v="0"/>
    <n v="0"/>
    <n v="0"/>
    <n v="0"/>
    <n v="32659.939679999999"/>
    <n v="0"/>
    <n v="0"/>
    <n v="0"/>
    <n v="0"/>
    <n v="81649.849199999997"/>
    <n v="0"/>
    <n v="0"/>
    <n v="0"/>
    <n v="163299.69839999999"/>
    <n v="0"/>
    <x v="20"/>
    <x v="20"/>
  </r>
  <r>
    <n v="0"/>
    <n v="0"/>
    <n v="0"/>
    <n v="0"/>
    <n v="0"/>
    <n v="0"/>
    <n v="0"/>
    <n v="0"/>
    <n v="0"/>
    <n v="0"/>
    <n v="0"/>
    <n v="0"/>
    <n v="0"/>
    <n v="0"/>
    <n v="0"/>
    <n v="0"/>
    <n v="8117.4050399999996"/>
    <n v="0"/>
    <n v="0"/>
    <n v="0"/>
    <n v="0"/>
    <n v="0"/>
    <n v="0"/>
    <n v="0"/>
    <n v="0"/>
    <x v="20"/>
    <x v="20"/>
  </r>
  <r>
    <n v="20203.298820000004"/>
    <n v="0"/>
    <n v="0"/>
    <n v="0"/>
    <n v="0"/>
    <n v="0"/>
    <n v="0"/>
    <n v="0"/>
    <n v="0"/>
    <n v="0"/>
    <n v="0"/>
    <n v="0"/>
    <n v="0"/>
    <n v="0"/>
    <n v="0"/>
    <n v="0"/>
    <n v="0"/>
    <n v="0"/>
    <n v="0"/>
    <n v="0"/>
    <n v="0"/>
    <n v="0"/>
    <n v="0"/>
    <n v="13468.865880000001"/>
    <n v="0"/>
    <x v="21"/>
    <x v="21"/>
  </r>
  <r>
    <n v="2525.8739400000004"/>
    <n v="0"/>
    <n v="0"/>
    <n v="0"/>
    <n v="0"/>
    <n v="0"/>
    <n v="0"/>
    <n v="0"/>
    <n v="0"/>
    <n v="0"/>
    <n v="0"/>
    <n v="0"/>
    <n v="0"/>
    <n v="0"/>
    <n v="0"/>
    <n v="0"/>
    <n v="0"/>
    <n v="0"/>
    <n v="0"/>
    <n v="0"/>
    <n v="0"/>
    <n v="0"/>
    <n v="0"/>
    <n v="5051.7478800000008"/>
    <n v="0"/>
    <x v="21"/>
    <x v="21"/>
  </r>
  <r>
    <n v="0"/>
    <n v="0"/>
    <n v="0"/>
    <n v="0"/>
    <n v="0"/>
    <n v="0"/>
    <n v="0"/>
    <n v="0"/>
    <n v="0"/>
    <n v="0"/>
    <n v="0"/>
    <n v="0"/>
    <n v="0"/>
    <n v="0"/>
    <n v="0"/>
    <n v="0"/>
    <n v="0"/>
    <n v="0"/>
    <n v="0"/>
    <n v="0"/>
    <n v="0"/>
    <n v="0"/>
    <n v="0"/>
    <n v="0"/>
    <n v="0"/>
    <x v="22"/>
    <x v="22"/>
  </r>
  <r>
    <n v="1838687.6474999997"/>
    <n v="294190.02359999996"/>
    <n v="147095.01179999998"/>
    <n v="0"/>
    <n v="941408.07551999984"/>
    <n v="441285.03539999994"/>
    <n v="294190.02359999996"/>
    <n v="0"/>
    <n v="588380.04719999991"/>
    <n v="441285.03539999994"/>
    <n v="441285.03539999994"/>
    <n v="0"/>
    <n v="0"/>
    <n v="294190.02359999996"/>
    <n v="294190.02359999996"/>
    <n v="441285.03539999994"/>
    <n v="294190.02359999996"/>
    <n v="220642.51769999997"/>
    <n v="220642.51769999997"/>
    <n v="220642.51769999997"/>
    <n v="66192.755309999993"/>
    <n v="0"/>
    <n v="220642.51769999997"/>
    <n v="147095.01179999998"/>
    <n v="353028.02831999992"/>
    <x v="22"/>
    <x v="22"/>
  </r>
  <r>
    <n v="2273417.469"/>
    <n v="202081.5528"/>
    <n v="0"/>
    <n v="0"/>
    <n v="444579.41615999996"/>
    <n v="0"/>
    <n v="212185.63043999998"/>
    <n v="0"/>
    <n v="404163.10560000001"/>
    <n v="0"/>
    <n v="0"/>
    <n v="50520.388200000001"/>
    <n v="202081.5528"/>
    <n v="202081.5528"/>
    <n v="202081.5528"/>
    <n v="303122.32919999998"/>
    <n v="202081.5528"/>
    <n v="0"/>
    <n v="0"/>
    <n v="151561.16459999999"/>
    <n v="151561.16459999999"/>
    <n v="0"/>
    <n v="126300.9705"/>
    <n v="101040.7764"/>
    <n v="303122.32919999998"/>
    <x v="23"/>
    <x v="23"/>
  </r>
  <r>
    <n v="0"/>
    <n v="0"/>
    <n v="0"/>
    <n v="0"/>
    <n v="0"/>
    <n v="0"/>
    <n v="0"/>
    <n v="0"/>
    <n v="0"/>
    <n v="0"/>
    <n v="0"/>
    <n v="0"/>
    <n v="0"/>
    <n v="0"/>
    <n v="0"/>
    <n v="0"/>
    <n v="0"/>
    <n v="35585.095199999996"/>
    <n v="0"/>
    <n v="0"/>
    <n v="0"/>
    <n v="0"/>
    <n v="0"/>
    <n v="0"/>
    <n v="0"/>
    <x v="23"/>
    <x v="23"/>
  </r>
  <r>
    <n v="12903.300899999998"/>
    <n v="0"/>
    <n v="0"/>
    <n v="0"/>
    <n v="0"/>
    <n v="0"/>
    <n v="0"/>
    <n v="0"/>
    <n v="0"/>
    <n v="0"/>
    <n v="0"/>
    <n v="0"/>
    <n v="0"/>
    <n v="0"/>
    <n v="0"/>
    <n v="0"/>
    <n v="0"/>
    <n v="0"/>
    <n v="0"/>
    <n v="0"/>
    <n v="0"/>
    <n v="0"/>
    <n v="0"/>
    <n v="0"/>
    <n v="0"/>
    <x v="24"/>
    <x v="24"/>
  </r>
  <r>
    <n v="232534.91399999999"/>
    <n v="18602.793119999998"/>
    <n v="18602.793119999998"/>
    <n v="0"/>
    <n v="204630.72431999998"/>
    <n v="18602.793119999998"/>
    <n v="0"/>
    <n v="18602.793119999998"/>
    <n v="46506.982799999998"/>
    <n v="18602.793119999998"/>
    <n v="18602.793119999998"/>
    <n v="23253.491399999999"/>
    <n v="18602.793119999998"/>
    <n v="46506.982799999998"/>
    <n v="9301.3965599999992"/>
    <n v="279041.89679999999"/>
    <n v="9301.3965599999992"/>
    <n v="139520.94839999999"/>
    <n v="0"/>
    <n v="0"/>
    <n v="0"/>
    <n v="0"/>
    <n v="139520.94839999999"/>
    <n v="139520.94839999999"/>
    <n v="0"/>
    <x v="25"/>
    <x v="25"/>
  </r>
  <r>
    <n v="0"/>
    <n v="0"/>
    <n v="0"/>
    <n v="0"/>
    <n v="0"/>
    <n v="0"/>
    <n v="0"/>
    <n v="0"/>
    <n v="0"/>
    <n v="0"/>
    <n v="0"/>
    <n v="0"/>
    <n v="0"/>
    <n v="0"/>
    <n v="0"/>
    <n v="0"/>
    <n v="0"/>
    <n v="0"/>
    <n v="0"/>
    <n v="0"/>
    <n v="0"/>
    <n v="0"/>
    <n v="0"/>
    <n v="0"/>
    <n v="0"/>
    <x v="25"/>
    <x v="25"/>
  </r>
  <r>
    <n v="354287.14950000006"/>
    <n v="28342.971960000003"/>
    <n v="28342.971960000003"/>
    <n v="0"/>
    <n v="0"/>
    <n v="0"/>
    <n v="28342.971960000003"/>
    <n v="0"/>
    <n v="70857.429900000003"/>
    <n v="28342.971960000003"/>
    <n v="28342.971960000003"/>
    <n v="106286.14485000001"/>
    <n v="0"/>
    <n v="70857.429900000003"/>
    <n v="14171.485980000001"/>
    <n v="63771.686910000004"/>
    <n v="0"/>
    <n v="212572.28970000002"/>
    <n v="0"/>
    <n v="0"/>
    <n v="0"/>
    <n v="0"/>
    <n v="0"/>
    <n v="141714.85980000001"/>
    <n v="255086.74764000002"/>
    <x v="25"/>
    <x v="25"/>
  </r>
  <r>
    <n v="32085.702449999997"/>
    <n v="0"/>
    <n v="0"/>
    <n v="0"/>
    <n v="19251.421469999997"/>
    <n v="4278.0936599999995"/>
    <n v="8556.1873199999991"/>
    <n v="0"/>
    <n v="0"/>
    <n v="8556.1873199999991"/>
    <n v="8556.1873199999991"/>
    <n v="0"/>
    <n v="0"/>
    <n v="2139.0468299999998"/>
    <n v="4278.0936599999995"/>
    <n v="17112.374639999998"/>
    <n v="4278.0936599999995"/>
    <n v="21390.468299999997"/>
    <n v="0"/>
    <n v="0"/>
    <n v="14973.327809999999"/>
    <n v="6417.1404899999998"/>
    <n v="0"/>
    <n v="10695.234149999998"/>
    <n v="0"/>
    <x v="26"/>
    <x v="26"/>
  </r>
  <r>
    <n v="85062.463499999983"/>
    <n v="0"/>
    <n v="0"/>
    <n v="0"/>
    <n v="0"/>
    <n v="0"/>
    <n v="0"/>
    <n v="0"/>
    <n v="0"/>
    <n v="0"/>
    <n v="0"/>
    <n v="0"/>
    <n v="0"/>
    <n v="0"/>
    <n v="0"/>
    <n v="0"/>
    <n v="0"/>
    <n v="0"/>
    <n v="0"/>
    <n v="0"/>
    <n v="0"/>
    <n v="0"/>
    <n v="0"/>
    <n v="0"/>
    <n v="0"/>
    <x v="27"/>
    <x v="27"/>
  </r>
  <r>
    <n v="0"/>
    <n v="0"/>
    <n v="0"/>
    <n v="0"/>
    <n v="0"/>
    <n v="0"/>
    <n v="0"/>
    <n v="0"/>
    <n v="0"/>
    <n v="0"/>
    <n v="0"/>
    <n v="9182.2901999999995"/>
    <n v="0"/>
    <n v="0"/>
    <n v="0"/>
    <n v="114778.62749999999"/>
    <n v="0"/>
    <n v="11477.86275"/>
    <n v="0"/>
    <n v="0"/>
    <n v="0"/>
    <n v="0"/>
    <n v="0"/>
    <n v="0"/>
    <n v="0"/>
    <x v="28"/>
    <x v="28"/>
  </r>
  <r>
    <n v="32281.5834"/>
    <n v="8608.4222399999999"/>
    <n v="0"/>
    <n v="0"/>
    <n v="8608.4222399999999"/>
    <n v="8608.4222399999999"/>
    <n v="8608.4222399999999"/>
    <n v="0"/>
    <n v="8608.4222399999999"/>
    <n v="0"/>
    <n v="4304.2111199999999"/>
    <n v="0"/>
    <n v="0"/>
    <n v="2152.10556"/>
    <n v="8608.4222399999999"/>
    <n v="0"/>
    <n v="0"/>
    <n v="0"/>
    <n v="0"/>
    <n v="0"/>
    <n v="8608.4222399999999"/>
    <n v="6456.3166799999999"/>
    <n v="0"/>
    <n v="10760.5278"/>
    <n v="4304.2111199999999"/>
    <x v="28"/>
    <x v="28"/>
  </r>
  <r>
    <n v="74069.92224"/>
    <n v="0"/>
    <n v="0"/>
    <n v="0"/>
    <n v="24689.97408"/>
    <n v="0"/>
    <n v="74069.92224"/>
    <n v="24689.97408"/>
    <n v="0"/>
    <n v="0"/>
    <n v="0"/>
    <n v="0"/>
    <n v="0"/>
    <n v="0"/>
    <n v="0"/>
    <n v="49379.94816"/>
    <n v="98759.89632"/>
    <n v="74069.92224"/>
    <n v="0"/>
    <n v="0"/>
    <n v="24689.97408"/>
    <n v="24689.97408"/>
    <n v="0"/>
    <n v="24689.97408"/>
    <n v="0"/>
    <x v="29"/>
    <x v="29"/>
  </r>
  <r>
    <n v="0"/>
    <n v="0"/>
    <n v="0"/>
    <n v="0"/>
    <n v="0"/>
    <n v="0"/>
    <n v="0"/>
    <n v="0"/>
    <n v="0"/>
    <n v="0"/>
    <n v="0"/>
    <n v="0"/>
    <n v="0"/>
    <n v="0"/>
    <n v="0"/>
    <n v="0"/>
    <n v="0"/>
    <n v="0"/>
    <n v="0"/>
    <n v="0"/>
    <n v="0"/>
    <n v="0"/>
    <n v="0"/>
    <n v="0"/>
    <n v="0"/>
    <x v="30"/>
    <x v="30"/>
  </r>
  <r>
    <n v="5439281.6385000004"/>
    <n v="483491.70120000001"/>
    <n v="483491.70120000001"/>
    <n v="0"/>
    <n v="531840.87132000003"/>
    <n v="0"/>
    <n v="265920.43566000002"/>
    <n v="0"/>
    <n v="604364.62650000001"/>
    <n v="362618.77590000001"/>
    <n v="725237.55180000002"/>
    <n v="0"/>
    <n v="0"/>
    <n v="120872.9253"/>
    <n v="120872.9253"/>
    <n v="483491.70120000001"/>
    <n v="0"/>
    <n v="241745.85060000001"/>
    <n v="0"/>
    <n v="483491.70120000001"/>
    <n v="120872.9253"/>
    <n v="0"/>
    <n v="302182.31325000001"/>
    <n v="241745.85060000001"/>
    <n v="483491.70120000001"/>
    <x v="31"/>
    <x v="31"/>
  </r>
  <r>
    <n v="47648.027099999999"/>
    <n v="0"/>
    <n v="0"/>
    <n v="0"/>
    <n v="0"/>
    <n v="0"/>
    <n v="0"/>
    <n v="0"/>
    <n v="0"/>
    <n v="0"/>
    <n v="0"/>
    <n v="0"/>
    <n v="0"/>
    <n v="0"/>
    <n v="0"/>
    <n v="0"/>
    <n v="0"/>
    <n v="0"/>
    <n v="0"/>
    <n v="0"/>
    <n v="0"/>
    <n v="0"/>
    <n v="0"/>
    <n v="0"/>
    <n v="0"/>
    <x v="32"/>
    <x v="32"/>
  </r>
  <r>
    <n v="474715.60800000001"/>
    <n v="178018.353"/>
    <n v="178018.353"/>
    <n v="0"/>
    <n v="284829.36479999998"/>
    <n v="0"/>
    <n v="130546.7922"/>
    <n v="0"/>
    <n v="178018.353"/>
    <n v="296697.255"/>
    <n v="356036.70600000001"/>
    <n v="0"/>
    <n v="0"/>
    <n v="59339.451000000001"/>
    <n v="59339.451000000001"/>
    <n v="178018.353"/>
    <n v="0"/>
    <n v="59339.451000000001"/>
    <n v="0"/>
    <n v="0"/>
    <n v="41537.615700000002"/>
    <n v="23735.7804"/>
    <n v="178018.353"/>
    <n v="23735.7804"/>
    <n v="29669.7255"/>
    <x v="33"/>
    <x v="33"/>
  </r>
  <r>
    <n v="63602.057699999998"/>
    <n v="0"/>
    <n v="0"/>
    <n v="0"/>
    <n v="0"/>
    <n v="0"/>
    <n v="42401.371799999994"/>
    <n v="0"/>
    <n v="0"/>
    <n v="0"/>
    <n v="0"/>
    <n v="0"/>
    <n v="21200.685899999997"/>
    <n v="0"/>
    <n v="0"/>
    <n v="0"/>
    <n v="21200.685899999997"/>
    <n v="0"/>
    <n v="0"/>
    <n v="0"/>
    <n v="0"/>
    <n v="0"/>
    <n v="0"/>
    <n v="0"/>
    <n v="0"/>
    <x v="33"/>
    <x v="33"/>
  </r>
  <r>
    <n v="865977.31500000006"/>
    <n v="49484.418000000005"/>
    <n v="30927.761250000003"/>
    <n v="0"/>
    <n v="103917.27780000001"/>
    <n v="0"/>
    <n v="12371.104500000001"/>
    <n v="37113.313500000004"/>
    <n v="61855.522500000006"/>
    <n v="37113.313500000004"/>
    <n v="49484.418000000005"/>
    <n v="18556.656750000002"/>
    <n v="0"/>
    <n v="9896.883600000001"/>
    <n v="12371.104500000001"/>
    <n v="0"/>
    <n v="0"/>
    <n v="49484.418000000005"/>
    <n v="0"/>
    <n v="0"/>
    <n v="6185.5522500000006"/>
    <n v="0"/>
    <n v="24742.209000000003"/>
    <n v="12371.104500000001"/>
    <n v="24742.209000000003"/>
    <x v="34"/>
    <x v="34"/>
  </r>
  <r>
    <n v="0"/>
    <n v="0"/>
    <n v="0"/>
    <n v="0"/>
    <n v="0"/>
    <n v="0"/>
    <n v="0"/>
    <n v="0"/>
    <n v="0"/>
    <n v="0"/>
    <n v="0"/>
    <n v="0"/>
    <n v="39030.384299999998"/>
    <n v="0"/>
    <n v="0"/>
    <n v="117091.15289999999"/>
    <n v="39030.384299999998"/>
    <n v="39030.384299999998"/>
    <n v="0"/>
    <n v="3903.0384299999996"/>
    <n v="0"/>
    <n v="0"/>
    <n v="0"/>
    <n v="0"/>
    <n v="0"/>
    <x v="35"/>
    <x v="35"/>
  </r>
  <r>
    <n v="703090.08"/>
    <n v="70309.008000000002"/>
    <n v="43943.13"/>
    <n v="0"/>
    <n v="77339.90879999999"/>
    <n v="0"/>
    <n v="35154.504000000001"/>
    <n v="17577.252"/>
    <n v="70309.008000000002"/>
    <n v="35154.504000000001"/>
    <n v="70309.008000000002"/>
    <n v="17577.252"/>
    <n v="14061.801599999999"/>
    <n v="17577.252"/>
    <n v="17577.252"/>
    <n v="17577.252"/>
    <n v="0"/>
    <n v="70309.008000000002"/>
    <n v="0"/>
    <n v="70309.008000000002"/>
    <n v="12304.076399999998"/>
    <n v="8788.6260000000002"/>
    <n v="35154.504000000001"/>
    <n v="17577.252"/>
    <n v="0"/>
    <x v="34"/>
    <x v="34"/>
  </r>
  <r>
    <n v="180804.43920000002"/>
    <n v="90402.219600000011"/>
    <n v="90402.219600000011"/>
    <n v="0"/>
    <n v="108482.66352"/>
    <n v="90402.219600000011"/>
    <n v="18080.443920000002"/>
    <n v="90402.219600000011"/>
    <n v="81361.997640000001"/>
    <n v="90402.219600000011"/>
    <n v="90402.219600000011"/>
    <n v="45201.109800000006"/>
    <n v="0"/>
    <n v="54241.331760000001"/>
    <n v="54241.331760000001"/>
    <n v="0"/>
    <n v="0"/>
    <n v="72321.775680000006"/>
    <n v="90402.219600000011"/>
    <n v="0"/>
    <n v="72321.775680000006"/>
    <n v="18080.443920000002"/>
    <n v="36160.887840000003"/>
    <n v="36160.887840000003"/>
    <n v="90402.219600000011"/>
    <x v="36"/>
    <x v="36"/>
  </r>
  <r>
    <n v="0"/>
    <n v="0"/>
    <n v="0"/>
    <n v="0"/>
    <n v="0"/>
    <n v="0"/>
    <n v="0"/>
    <n v="0"/>
    <n v="0"/>
    <n v="0"/>
    <n v="0"/>
    <n v="0"/>
    <n v="0"/>
    <n v="0"/>
    <n v="0"/>
    <n v="109511.68472999998"/>
    <n v="219023.36945999996"/>
    <n v="73007.789819999991"/>
    <n v="0"/>
    <n v="0"/>
    <n v="0"/>
    <n v="0"/>
    <n v="0"/>
    <n v="0"/>
    <n v="0"/>
    <x v="13"/>
    <x v="13"/>
  </r>
  <r>
    <n v="0"/>
    <n v="0"/>
    <n v="0"/>
    <n v="0"/>
    <n v="124362.21347999999"/>
    <n v="0"/>
    <n v="0"/>
    <n v="0"/>
    <n v="0"/>
    <n v="0"/>
    <n v="0"/>
    <n v="0"/>
    <n v="0"/>
    <n v="0"/>
    <n v="0"/>
    <n v="0"/>
    <n v="0"/>
    <n v="0"/>
    <n v="0"/>
    <n v="0"/>
    <n v="0"/>
    <n v="0"/>
    <n v="0"/>
    <n v="0"/>
    <n v="0"/>
    <x v="13"/>
    <x v="13"/>
  </r>
  <r>
    <n v="0"/>
    <n v="0"/>
    <n v="0"/>
    <n v="0"/>
    <n v="0"/>
    <n v="0"/>
    <n v="0"/>
    <n v="0"/>
    <n v="0"/>
    <n v="0"/>
    <n v="0"/>
    <n v="0"/>
    <n v="0"/>
    <n v="0"/>
    <n v="0"/>
    <n v="48827.12859"/>
    <n v="0"/>
    <n v="0"/>
    <n v="0"/>
    <n v="0"/>
    <n v="0"/>
    <n v="0"/>
    <n v="0"/>
    <n v="0"/>
    <n v="0"/>
    <x v="13"/>
    <x v="13"/>
  </r>
  <r>
    <n v="0"/>
    <n v="0"/>
    <n v="0"/>
    <n v="0"/>
    <n v="0"/>
    <n v="0"/>
    <n v="0"/>
    <n v="0"/>
    <n v="0"/>
    <n v="0"/>
    <n v="0"/>
    <n v="0"/>
    <n v="0"/>
    <n v="0"/>
    <n v="0"/>
    <n v="0"/>
    <n v="0"/>
    <n v="0"/>
    <n v="0"/>
    <n v="0"/>
    <n v="0"/>
    <n v="0"/>
    <n v="0"/>
    <n v="0"/>
    <n v="0"/>
    <x v="13"/>
    <x v="13"/>
  </r>
  <r>
    <n v="0"/>
    <n v="0"/>
    <n v="0"/>
    <n v="0"/>
    <n v="0"/>
    <n v="0"/>
    <n v="0"/>
    <n v="0"/>
    <n v="0"/>
    <n v="0"/>
    <n v="0"/>
    <n v="4258.6902"/>
    <n v="0"/>
    <n v="0"/>
    <n v="0"/>
    <n v="0"/>
    <n v="0"/>
    <n v="4258.6902"/>
    <n v="0"/>
    <n v="0"/>
    <n v="0"/>
    <n v="0"/>
    <n v="0"/>
    <n v="0"/>
    <n v="0"/>
    <x v="20"/>
    <x v="20"/>
  </r>
  <r>
    <n v="0"/>
    <n v="0"/>
    <n v="0"/>
    <n v="0"/>
    <n v="2081.98902"/>
    <n v="0"/>
    <n v="0"/>
    <n v="0"/>
    <n v="0"/>
    <n v="0"/>
    <n v="0"/>
    <n v="8327.9560799999999"/>
    <n v="0"/>
    <n v="0"/>
    <n v="0"/>
    <n v="0"/>
    <n v="0"/>
    <n v="4163.97804"/>
    <n v="0"/>
    <n v="0"/>
    <n v="0"/>
    <n v="4163.97804"/>
    <n v="0"/>
    <n v="6245.9670599999999"/>
    <n v="0"/>
    <x v="37"/>
    <x v="37"/>
  </r>
  <r>
    <n v="55420.489200000004"/>
    <n v="2771.0244600000001"/>
    <n v="2771.0244600000001"/>
    <n v="0"/>
    <n v="5542.0489200000002"/>
    <n v="0"/>
    <n v="0"/>
    <n v="0"/>
    <n v="2771.0244600000001"/>
    <n v="2771.0244600000001"/>
    <n v="2771.0244600000001"/>
    <n v="11084.09784"/>
    <n v="0"/>
    <n v="0"/>
    <n v="2771.0244600000001"/>
    <n v="0"/>
    <n v="0"/>
    <n v="6927.5611500000005"/>
    <n v="0"/>
    <n v="0"/>
    <n v="0"/>
    <n v="0"/>
    <n v="0"/>
    <n v="0"/>
    <n v="0"/>
    <x v="38"/>
    <x v="38"/>
  </r>
  <r>
    <n v="0"/>
    <n v="0"/>
    <n v="0"/>
    <n v="0"/>
    <n v="0"/>
    <n v="0"/>
    <n v="0"/>
    <n v="0"/>
    <n v="0"/>
    <n v="0"/>
    <n v="0"/>
    <n v="0"/>
    <n v="0"/>
    <n v="0"/>
    <n v="0"/>
    <n v="0"/>
    <n v="3125.7698399999999"/>
    <n v="0"/>
    <n v="0"/>
    <n v="0"/>
    <n v="0"/>
    <n v="0"/>
    <n v="0"/>
    <n v="0"/>
    <n v="0"/>
    <x v="39"/>
    <x v="39"/>
  </r>
  <r>
    <n v="0"/>
    <n v="0"/>
    <n v="0"/>
    <n v="0"/>
    <n v="0"/>
    <n v="0"/>
    <n v="28348.186500000003"/>
    <n v="0"/>
    <n v="0"/>
    <n v="0"/>
    <n v="0"/>
    <n v="0"/>
    <n v="0"/>
    <n v="0"/>
    <n v="0"/>
    <n v="0"/>
    <n v="0"/>
    <n v="0"/>
    <n v="0"/>
    <n v="0"/>
    <n v="0"/>
    <n v="0"/>
    <n v="0"/>
    <n v="0"/>
    <n v="0"/>
    <x v="40"/>
    <x v="40"/>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41"/>
    <x v="41"/>
  </r>
  <r>
    <n v="6221.8239538580528"/>
    <n v="0"/>
    <n v="0"/>
    <n v="0"/>
    <n v="0"/>
    <n v="0"/>
    <n v="0"/>
    <n v="0"/>
    <n v="0"/>
    <n v="0"/>
    <n v="0"/>
    <n v="0"/>
    <n v="0"/>
    <n v="0"/>
    <n v="0"/>
    <n v="0"/>
    <n v="0"/>
    <n v="0"/>
    <n v="0"/>
    <n v="0"/>
    <n v="0"/>
    <n v="0"/>
    <n v="0"/>
    <n v="0"/>
    <n v="0"/>
    <x v="38"/>
    <x v="38"/>
  </r>
  <r>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n v="1118.0710508127011"/>
    <x v="38"/>
    <x v="38"/>
  </r>
  <r>
    <n v="7605.4833107608147"/>
    <n v="0"/>
    <n v="0"/>
    <n v="0"/>
    <n v="0"/>
    <n v="0"/>
    <n v="0"/>
    <n v="0"/>
    <n v="0"/>
    <n v="0"/>
    <n v="0"/>
    <n v="0"/>
    <n v="0"/>
    <n v="0"/>
    <n v="0"/>
    <n v="0"/>
    <n v="0"/>
    <n v="0"/>
    <n v="0"/>
    <n v="0"/>
    <n v="0"/>
    <n v="0"/>
    <n v="0"/>
    <n v="0"/>
    <n v="0"/>
    <x v="38"/>
    <x v="38"/>
  </r>
  <r>
    <n v="17504.683810481238"/>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138507.55183250946"/>
    <n v="57711.47993021227"/>
    <n v="34626.887958127365"/>
    <n v="11542.295986042454"/>
    <n v="34626.887958127365"/>
    <n v="34626.887958127365"/>
    <n v="34626.887958127365"/>
    <n v="34626.887958127365"/>
    <n v="34626.887958127365"/>
    <n v="34626.887958127365"/>
    <n v="23084.591972084909"/>
    <n v="23084.591972084909"/>
    <n v="23084.591972084909"/>
    <n v="23084.591972084909"/>
    <n v="23084.591972084909"/>
    <n v="23084.591972084909"/>
    <n v="23084.591972084909"/>
    <n v="34626.887958127365"/>
    <n v="23084.591972084909"/>
    <n v="23084.591972084909"/>
    <n v="23084.591972084909"/>
    <n v="23084.591972084909"/>
    <n v="23084.591972084909"/>
    <n v="23084.591972084909"/>
    <n v="23084.591972084909"/>
    <x v="42"/>
    <x v="42"/>
  </r>
  <r>
    <n v="157679.70767838566"/>
    <n v="90102.690101934655"/>
    <n v="22525.672525483664"/>
    <n v="45051.345050967328"/>
    <n v="45051.345050967328"/>
    <n v="45051.345050967328"/>
    <n v="45051.345050967328"/>
    <n v="45051.345050967328"/>
    <n v="45051.345050967328"/>
    <n v="45051.345050967328"/>
    <n v="45051.345050967328"/>
    <n v="22525.672525483664"/>
    <n v="22525.672525483664"/>
    <n v="22525.672525483664"/>
    <n v="22525.672525483664"/>
    <n v="22525.672525483664"/>
    <n v="22525.672525483664"/>
    <n v="45051.345050967328"/>
    <n v="22525.672525483664"/>
    <n v="22525.672525483664"/>
    <n v="22525.672525483664"/>
    <n v="22525.672525483664"/>
    <n v="22525.672525483664"/>
    <n v="22525.672525483664"/>
    <n v="22525.672525483664"/>
    <x v="42"/>
    <x v="42"/>
  </r>
  <r>
    <n v="60697.6071916488"/>
    <n v="10116.2678652748"/>
    <n v="5058.1339326374"/>
    <n v="5058.1339326374"/>
    <n v="5058.1339326374"/>
    <n v="5058.1339326374"/>
    <n v="5058.1339326374"/>
    <n v="5058.1339326374"/>
    <n v="5058.1339326374"/>
    <n v="5058.1339326374"/>
    <n v="5058.1339326374"/>
    <n v="5058.1339326374"/>
    <n v="5058.1339326374"/>
    <n v="5058.1339326374"/>
    <n v="5058.1339326374"/>
    <n v="5058.1339326374"/>
    <n v="5058.1339326374"/>
    <n v="5058.1339326374"/>
    <n v="5058.1339326374"/>
    <n v="5058.1339326374"/>
    <n v="5058.1339326374"/>
    <n v="5058.1339326374"/>
    <n v="5058.1339326374"/>
    <n v="5058.1339326374"/>
    <n v="5058.1339326374"/>
    <x v="42"/>
    <x v="42"/>
  </r>
  <r>
    <n v="25086.951360220191"/>
    <n v="16724.634240146795"/>
    <n v="8362.3171200733977"/>
    <n v="0"/>
    <n v="0"/>
    <n v="0"/>
    <n v="0"/>
    <n v="0"/>
    <n v="0"/>
    <n v="0"/>
    <n v="0"/>
    <n v="0"/>
    <n v="0"/>
    <n v="0"/>
    <n v="0"/>
    <n v="0"/>
    <n v="0"/>
    <n v="8362.3171200733977"/>
    <n v="0"/>
    <n v="8362.3171200733977"/>
    <n v="0"/>
    <n v="0"/>
    <n v="0"/>
    <n v="0"/>
    <n v="0"/>
    <x v="42"/>
    <x v="42"/>
  </r>
  <r>
    <n v="6656.423000187242"/>
    <n v="0"/>
    <n v="0"/>
    <n v="0"/>
    <n v="0"/>
    <n v="0"/>
    <n v="0"/>
    <n v="0"/>
    <n v="0"/>
    <n v="0"/>
    <n v="0"/>
    <n v="0"/>
    <n v="0"/>
    <n v="0"/>
    <n v="0"/>
    <n v="0"/>
    <n v="0"/>
    <n v="0"/>
    <n v="0"/>
    <n v="0"/>
    <n v="0"/>
    <n v="0"/>
    <n v="0"/>
    <n v="0"/>
    <n v="0"/>
    <x v="42"/>
    <x v="42"/>
  </r>
  <r>
    <n v="9326.2355177009576"/>
    <n v="0"/>
    <n v="0"/>
    <n v="0"/>
    <n v="0"/>
    <n v="0"/>
    <n v="0"/>
    <n v="0"/>
    <n v="0"/>
    <n v="0"/>
    <n v="0"/>
    <n v="0"/>
    <n v="0"/>
    <n v="0"/>
    <n v="0"/>
    <n v="0"/>
    <n v="0"/>
    <n v="0"/>
    <n v="0"/>
    <n v="0"/>
    <n v="0"/>
    <n v="0"/>
    <n v="0"/>
    <n v="0"/>
    <n v="0"/>
    <x v="42"/>
    <x v="42"/>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0"/>
    <n v="0"/>
    <n v="0"/>
    <n v="0"/>
    <n v="0"/>
    <n v="0"/>
    <n v="0"/>
    <n v="0"/>
    <n v="0"/>
    <n v="0"/>
    <n v="0"/>
    <n v="0"/>
    <n v="0"/>
    <n v="0"/>
    <n v="0"/>
    <n v="0"/>
    <n v="0"/>
    <n v="0"/>
    <n v="0"/>
    <n v="0"/>
    <n v="0"/>
    <n v="0"/>
    <n v="0"/>
    <n v="0"/>
    <n v="0"/>
    <x v="38"/>
    <x v="38"/>
  </r>
  <r>
    <n v="40408.42500420587"/>
    <n v="0"/>
    <n v="0"/>
    <n v="20204.212502102935"/>
    <n v="0"/>
    <n v="0"/>
    <n v="0"/>
    <n v="0"/>
    <n v="0"/>
    <n v="0"/>
    <n v="0"/>
    <n v="20204.212502102935"/>
    <n v="0"/>
    <n v="0"/>
    <n v="0"/>
    <n v="0"/>
    <n v="0"/>
    <n v="0"/>
    <n v="0"/>
    <n v="0"/>
    <n v="0"/>
    <n v="0"/>
    <n v="0"/>
    <n v="0"/>
    <n v="0"/>
    <x v="38"/>
    <x v="38"/>
  </r>
  <r>
    <n v="406794.10974733508"/>
    <n v="135598.03658244503"/>
    <n v="22599.672763740837"/>
    <n v="0"/>
    <n v="45199.345527481673"/>
    <n v="45199.345527481673"/>
    <n v="45199.345527481673"/>
    <n v="45199.345527481673"/>
    <n v="45199.345527481673"/>
    <n v="90398.691054963347"/>
    <n v="45199.345527481673"/>
    <n v="0"/>
    <n v="22599.672763740837"/>
    <n v="45199.345527481673"/>
    <n v="22599.672763740837"/>
    <n v="45199.345527481673"/>
    <n v="22599.672763740837"/>
    <n v="45199.345527481673"/>
    <n v="22599.672763740837"/>
    <n v="22599.672763740837"/>
    <n v="22599.672763740837"/>
    <n v="22599.672763740837"/>
    <n v="22599.672763740837"/>
    <n v="22599.672763740837"/>
    <n v="45199.345527481673"/>
    <x v="38"/>
    <x v="38"/>
  </r>
  <r>
    <n v="398387.68268132024"/>
    <n v="93738.278277957696"/>
    <n v="117172.84784744712"/>
    <n v="46869.139138978848"/>
    <n v="187476.55655591539"/>
    <n v="70303.708708468272"/>
    <n v="70303.708708468272"/>
    <n v="70303.708708468272"/>
    <n v="70303.708708468272"/>
    <n v="93738.278277957696"/>
    <n v="70303.708708468272"/>
    <n v="46869.139138978848"/>
    <n v="46869.139138978848"/>
    <n v="23434.569569489424"/>
    <n v="23434.569569489424"/>
    <n v="23434.569569489424"/>
    <n v="46869.139138978848"/>
    <n v="46869.139138978848"/>
    <n v="23434.569569489424"/>
    <n v="46869.139138978848"/>
    <n v="23434.569569489424"/>
    <n v="46869.139138978848"/>
    <n v="46869.139138978848"/>
    <n v="23434.569569489424"/>
    <n v="46869.139138978848"/>
    <x v="38"/>
    <x v="38"/>
  </r>
  <r>
    <n v="63926.919549789309"/>
    <n v="19178.075864936793"/>
    <n v="9589.0379324683963"/>
    <n v="9589.0379324683963"/>
    <n v="0"/>
    <n v="0"/>
    <n v="0"/>
    <n v="0"/>
    <n v="0"/>
    <n v="0"/>
    <n v="0"/>
    <n v="0"/>
    <n v="0"/>
    <n v="0"/>
    <n v="0"/>
    <n v="0"/>
    <n v="0"/>
    <n v="3196.3459774894654"/>
    <n v="0"/>
    <n v="0"/>
    <n v="3196.3459774894654"/>
    <n v="0"/>
    <n v="0"/>
    <n v="3196.3459774894654"/>
    <n v="0"/>
    <x v="38"/>
    <x v="38"/>
  </r>
  <r>
    <n v="139776.87356637957"/>
    <n v="69888.436783189783"/>
    <n v="23296.145594396596"/>
    <n v="0"/>
    <n v="23296.145594396596"/>
    <n v="0"/>
    <n v="0"/>
    <n v="0"/>
    <n v="0"/>
    <n v="0"/>
    <n v="0"/>
    <n v="0"/>
    <n v="0"/>
    <n v="0"/>
    <n v="0"/>
    <n v="0"/>
    <n v="0"/>
    <n v="0"/>
    <n v="0"/>
    <n v="0"/>
    <n v="0"/>
    <n v="0"/>
    <n v="0"/>
    <n v="0"/>
    <n v="0"/>
    <x v="42"/>
    <x v="42"/>
  </r>
  <r>
    <n v="191868.68834423821"/>
    <n v="0"/>
    <n v="127912.4588961588"/>
    <n v="63956.229448079401"/>
    <n v="0"/>
    <n v="0"/>
    <n v="0"/>
    <n v="0"/>
    <n v="0"/>
    <n v="0"/>
    <n v="0"/>
    <n v="0"/>
    <n v="0"/>
    <n v="0"/>
    <n v="0"/>
    <n v="0"/>
    <n v="0"/>
    <n v="127912.4588961588"/>
    <n v="0"/>
    <n v="63956.229448079401"/>
    <n v="63956.229448079401"/>
    <n v="63956.229448079401"/>
    <n v="0"/>
    <n v="0"/>
    <n v="0"/>
    <x v="42"/>
    <x v="42"/>
  </r>
  <r>
    <n v="0"/>
    <n v="0"/>
    <n v="0"/>
    <n v="0"/>
    <n v="0"/>
    <n v="0"/>
    <n v="0"/>
    <n v="0"/>
    <n v="0"/>
    <n v="0"/>
    <n v="0"/>
    <n v="65651.270199687846"/>
    <n v="65651.270199687846"/>
    <n v="65651.270199687846"/>
    <n v="65651.270199687846"/>
    <n v="0"/>
    <n v="0"/>
    <n v="0"/>
    <n v="65651.270199687846"/>
    <n v="0"/>
    <n v="0"/>
    <n v="0"/>
    <n v="65651.270199687846"/>
    <n v="65651.270199687846"/>
    <n v="0"/>
    <x v="42"/>
    <x v="42"/>
  </r>
  <r>
    <n v="610204.22348657751"/>
    <n v="101700.70391442958"/>
    <n v="0"/>
    <n v="0"/>
    <n v="101700.70391442958"/>
    <n v="101700.70391442958"/>
    <n v="101700.70391442958"/>
    <n v="203401.40782885917"/>
    <n v="101700.70391442958"/>
    <n v="203401.40782885917"/>
    <n v="101700.70391442958"/>
    <n v="101700.70391442958"/>
    <n v="0"/>
    <n v="0"/>
    <n v="0"/>
    <n v="101700.70391442958"/>
    <n v="101700.70391442958"/>
    <n v="0"/>
    <n v="0"/>
    <n v="0"/>
    <n v="0"/>
    <n v="0"/>
    <n v="0"/>
    <n v="0"/>
    <n v="0"/>
    <x v="42"/>
    <x v="42"/>
  </r>
  <r>
    <n v="57913.457051102436"/>
    <n v="57913.457051102436"/>
    <n v="0"/>
    <n v="0"/>
    <n v="0"/>
    <n v="0"/>
    <n v="0"/>
    <n v="0"/>
    <n v="0"/>
    <n v="0"/>
    <n v="0"/>
    <n v="0"/>
    <n v="0"/>
    <n v="0"/>
    <n v="0"/>
    <n v="0"/>
    <n v="0"/>
    <n v="57913.457051102436"/>
    <n v="57913.457051102436"/>
    <n v="0"/>
    <n v="0"/>
    <n v="0"/>
    <n v="0"/>
    <n v="0"/>
    <n v="57913.457051102436"/>
    <x v="42"/>
    <x v="42"/>
  </r>
  <r>
    <n v="455801.42047642713"/>
    <n v="0"/>
    <n v="0"/>
    <n v="0"/>
    <n v="0"/>
    <n v="0"/>
    <n v="0"/>
    <n v="0"/>
    <n v="0"/>
    <n v="0"/>
    <n v="0"/>
    <n v="0"/>
    <n v="0"/>
    <n v="0"/>
    <n v="0"/>
    <n v="0"/>
    <n v="0"/>
    <n v="0"/>
    <n v="0"/>
    <n v="0"/>
    <n v="0"/>
    <n v="0"/>
    <n v="0"/>
    <n v="0"/>
    <n v="0"/>
    <x v="42"/>
    <x v="42"/>
  </r>
  <r>
    <n v="37004.994438401431"/>
    <n v="0"/>
    <n v="37004.994438401431"/>
    <n v="0"/>
    <n v="0"/>
    <n v="0"/>
    <n v="0"/>
    <n v="0"/>
    <n v="0"/>
    <n v="0"/>
    <n v="0"/>
    <n v="0"/>
    <n v="0"/>
    <n v="0"/>
    <n v="0"/>
    <n v="0"/>
    <n v="0"/>
    <n v="0"/>
    <n v="0"/>
    <n v="0"/>
    <n v="0"/>
    <n v="0"/>
    <n v="0"/>
    <n v="0"/>
    <n v="0"/>
    <x v="38"/>
    <x v="38"/>
  </r>
  <r>
    <n v="12895.890932421908"/>
    <n v="0"/>
    <n v="0"/>
    <n v="0"/>
    <n v="0"/>
    <n v="0"/>
    <n v="0"/>
    <n v="0"/>
    <n v="0"/>
    <n v="0"/>
    <n v="0"/>
    <n v="0"/>
    <n v="0"/>
    <n v="0"/>
    <n v="0"/>
    <n v="0"/>
    <n v="0"/>
    <n v="0"/>
    <n v="0"/>
    <n v="0"/>
    <n v="0"/>
    <n v="0"/>
    <n v="0"/>
    <n v="0"/>
    <n v="0"/>
    <x v="38"/>
    <x v="38"/>
  </r>
  <r>
    <n v="41940.66523164852"/>
    <n v="41940.66523164852"/>
    <n v="41940.66523164852"/>
    <n v="0"/>
    <n v="0"/>
    <n v="0"/>
    <n v="0"/>
    <n v="0"/>
    <n v="0"/>
    <n v="0"/>
    <n v="0"/>
    <n v="0"/>
    <n v="0"/>
    <n v="0"/>
    <n v="0"/>
    <n v="0"/>
    <n v="0"/>
    <n v="0"/>
    <n v="0"/>
    <n v="0"/>
    <n v="0"/>
    <n v="0"/>
    <n v="0"/>
    <n v="0"/>
    <n v="0"/>
    <x v="38"/>
    <x v="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Z91" firstHeaderRow="0" firstDataRow="1" firstDataCol="1"/>
  <pivotFields count="27">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axis="axisRow" showAll="0">
      <items count="44">
        <item x="33"/>
        <item x="31"/>
        <item x="32"/>
        <item x="35"/>
        <item x="34"/>
        <item x="36"/>
        <item x="28"/>
        <item x="14"/>
        <item x="19"/>
        <item x="13"/>
        <item x="21"/>
        <item x="26"/>
        <item x="22"/>
        <item x="27"/>
        <item x="24"/>
        <item x="23"/>
        <item x="25"/>
        <item x="12"/>
        <item x="5"/>
        <item x="8"/>
        <item x="4"/>
        <item x="1"/>
        <item x="0"/>
        <item x="2"/>
        <item x="3"/>
        <item x="6"/>
        <item x="7"/>
        <item x="11"/>
        <item x="9"/>
        <item x="10"/>
        <item x="20"/>
        <item x="41"/>
        <item x="37"/>
        <item x="29"/>
        <item x="39"/>
        <item x="40"/>
        <item x="16"/>
        <item x="18"/>
        <item x="15"/>
        <item x="17"/>
        <item x="38"/>
        <item x="42"/>
        <item x="30"/>
        <item t="default"/>
      </items>
    </pivotField>
    <pivotField axis="axisRow" showAll="0">
      <items count="44">
        <item x="32"/>
        <item x="31"/>
        <item x="19"/>
        <item x="14"/>
        <item x="36"/>
        <item x="26"/>
        <item x="33"/>
        <item x="20"/>
        <item x="18"/>
        <item x="9"/>
        <item x="4"/>
        <item x="6"/>
        <item x="29"/>
        <item x="16"/>
        <item x="15"/>
        <item x="13"/>
        <item x="28"/>
        <item x="21"/>
        <item x="8"/>
        <item x="3"/>
        <item x="1"/>
        <item x="2"/>
        <item x="0"/>
        <item x="17"/>
        <item x="24"/>
        <item x="22"/>
        <item x="27"/>
        <item x="7"/>
        <item x="34"/>
        <item x="10"/>
        <item x="11"/>
        <item x="41"/>
        <item x="37"/>
        <item x="38"/>
        <item x="42"/>
        <item x="12"/>
        <item x="35"/>
        <item x="23"/>
        <item x="40"/>
        <item x="5"/>
        <item x="25"/>
        <item x="39"/>
        <item x="30"/>
        <item t="default"/>
      </items>
    </pivotField>
  </pivotFields>
  <rowFields count="2">
    <field x="25"/>
    <field x="26"/>
  </rowFields>
  <rowItems count="87">
    <i>
      <x/>
    </i>
    <i r="1">
      <x v="6"/>
    </i>
    <i>
      <x v="1"/>
    </i>
    <i r="1">
      <x v="1"/>
    </i>
    <i>
      <x v="2"/>
    </i>
    <i r="1">
      <x/>
    </i>
    <i>
      <x v="3"/>
    </i>
    <i r="1">
      <x v="36"/>
    </i>
    <i>
      <x v="4"/>
    </i>
    <i r="1">
      <x v="28"/>
    </i>
    <i>
      <x v="5"/>
    </i>
    <i r="1">
      <x v="4"/>
    </i>
    <i>
      <x v="6"/>
    </i>
    <i r="1">
      <x v="16"/>
    </i>
    <i>
      <x v="7"/>
    </i>
    <i r="1">
      <x v="3"/>
    </i>
    <i>
      <x v="8"/>
    </i>
    <i r="1">
      <x v="2"/>
    </i>
    <i>
      <x v="9"/>
    </i>
    <i r="1">
      <x v="15"/>
    </i>
    <i>
      <x v="10"/>
    </i>
    <i r="1">
      <x v="17"/>
    </i>
    <i>
      <x v="11"/>
    </i>
    <i r="1">
      <x v="5"/>
    </i>
    <i>
      <x v="12"/>
    </i>
    <i r="1">
      <x v="25"/>
    </i>
    <i>
      <x v="13"/>
    </i>
    <i r="1">
      <x v="26"/>
    </i>
    <i>
      <x v="14"/>
    </i>
    <i r="1">
      <x v="24"/>
    </i>
    <i>
      <x v="15"/>
    </i>
    <i r="1">
      <x v="37"/>
    </i>
    <i>
      <x v="16"/>
    </i>
    <i r="1">
      <x v="40"/>
    </i>
    <i>
      <x v="17"/>
    </i>
    <i r="1">
      <x v="35"/>
    </i>
    <i>
      <x v="18"/>
    </i>
    <i r="1">
      <x v="39"/>
    </i>
    <i>
      <x v="19"/>
    </i>
    <i r="1">
      <x v="18"/>
    </i>
    <i>
      <x v="20"/>
    </i>
    <i r="1">
      <x v="10"/>
    </i>
    <i>
      <x v="21"/>
    </i>
    <i r="1">
      <x v="20"/>
    </i>
    <i>
      <x v="22"/>
    </i>
    <i r="1">
      <x v="22"/>
    </i>
    <i>
      <x v="23"/>
    </i>
    <i r="1">
      <x v="21"/>
    </i>
    <i>
      <x v="24"/>
    </i>
    <i r="1">
      <x v="19"/>
    </i>
    <i>
      <x v="25"/>
    </i>
    <i r="1">
      <x v="11"/>
    </i>
    <i>
      <x v="26"/>
    </i>
    <i r="1">
      <x v="27"/>
    </i>
    <i>
      <x v="27"/>
    </i>
    <i r="1">
      <x v="30"/>
    </i>
    <i>
      <x v="28"/>
    </i>
    <i r="1">
      <x v="9"/>
    </i>
    <i>
      <x v="29"/>
    </i>
    <i r="1">
      <x v="29"/>
    </i>
    <i>
      <x v="30"/>
    </i>
    <i r="1">
      <x v="7"/>
    </i>
    <i>
      <x v="31"/>
    </i>
    <i r="1">
      <x v="31"/>
    </i>
    <i>
      <x v="32"/>
    </i>
    <i r="1">
      <x v="32"/>
    </i>
    <i>
      <x v="33"/>
    </i>
    <i r="1">
      <x v="12"/>
    </i>
    <i>
      <x v="34"/>
    </i>
    <i r="1">
      <x v="41"/>
    </i>
    <i>
      <x v="35"/>
    </i>
    <i r="1">
      <x v="38"/>
    </i>
    <i>
      <x v="36"/>
    </i>
    <i r="1">
      <x v="13"/>
    </i>
    <i>
      <x v="37"/>
    </i>
    <i r="1">
      <x v="8"/>
    </i>
    <i>
      <x v="38"/>
    </i>
    <i r="1">
      <x v="14"/>
    </i>
    <i>
      <x v="39"/>
    </i>
    <i r="1">
      <x v="23"/>
    </i>
    <i>
      <x v="40"/>
    </i>
    <i r="1">
      <x v="33"/>
    </i>
    <i>
      <x v="41"/>
    </i>
    <i r="1">
      <x v="34"/>
    </i>
    <i>
      <x v="42"/>
    </i>
    <i r="1">
      <x v="42"/>
    </i>
    <i t="grand">
      <x/>
    </i>
  </rowItems>
  <colFields count="1">
    <field x="-2"/>
  </colFields>
  <colItems count="25">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colItems>
  <dataFields count="25">
    <dataField name="Suma de SEDE 1 - MANZANA LIEVANO - ALCALDÍA MAYOR" fld="0" baseField="0" baseItem="0"/>
    <dataField name="Suma de SEDE 2- DIRECCIÓN DISTRITAL DE ARCHIVO DE  BOGOTA " fld="1" baseField="0" baseItem="0"/>
    <dataField name="Suma de SEDE 3 - IMPRENTA DISTRITAL" fld="2" baseField="0" baseItem="0"/>
    <dataField name="Suma de SEDE 4 - SEDE ALTERNA RESTREPO " fld="3" baseField="0" baseItem="0"/>
    <dataField name="Suma de SEDE 5 - SUPERCADE CAD CARRERA " fld="4" baseField="0" baseItem="0"/>
    <dataField name="Suma de SEDE 6 - SUPERCADE AMERICAS " fld="5" baseField="0" baseItem="0"/>
    <dataField name="Suma de SEDE 7 - SUPERCADE BOSA " fld="6" baseField="0" baseItem="0"/>
    <dataField name="Suma de SEDE 8 - SUPERCADE CALLE 13 " fld="7" baseField="0" baseItem="0"/>
    <dataField name="Suma de SEDE 9 - SUPERCADE 20 DE JULIO " fld="8" baseField="0" baseItem="0"/>
    <dataField name="Suma de SEDE 10 - SUPERCADE MANITAS " fld="9" baseField="0" baseItem="0"/>
    <dataField name="Suma de SEDE 11 - SUPERCADE SUBA " fld="10" baseField="0" baseItem="0"/>
    <dataField name="Suma de SEDE 12 - SUPERCADE SOCIAL" fld="11" baseField="0" baseItem="0"/>
    <dataField name="Suma de SEDE 13 - CADE SERVITA " fld="12" baseField="0" baseItem="0"/>
    <dataField name="Suma de SEDE 14 - CADE LA VICTORIA " fld="13" baseField="0" baseItem="0"/>
    <dataField name="Suma de SEDE 15 - CADE LA GAITANA " fld="14" baseField="0" baseItem="0"/>
    <dataField name="Suma de SEDE 16 - SUPERCADE ENGATIVA " fld="15" baseField="0" baseItem="0"/>
    <dataField name="Suma de SEDE 17 - CADE LOS LUCEROS " fld="16" baseField="0" baseItem="0"/>
    <dataField name="Suma de SEDE 18 - CENTRO DE MEMORIA, PAZ Y RECONCILIACIÓN " fld="17" baseField="0" baseItem="0"/>
    <dataField name="Suma de SEDE 19 - CENTRO DE ENCUENTRO BOSA " fld="18" baseField="0" baseItem="0"/>
    <dataField name="Suma de SEDE 20 - CENTRO DE ENCUENTRO CHAPINERO " fld="19" baseField="0" baseItem="0"/>
    <dataField name="Suma de SEDE 21 - CENTRO DE ENCUENTRO CIUDAD BOLIVAR " fld="20" baseField="0" baseItem="0"/>
    <dataField name="Suma de SEDE 22 - CENTRO DE ENCUENTRO KENNEDY PATIO BONITO " fld="21" baseField="0" baseItem="0"/>
    <dataField name="Suma de SEDE 23 - CENTRO DE ENCUENTRO RAFAEL URIBE " fld="22" baseField="0" baseItem="0"/>
    <dataField name="Suma de SEDE 24 - CENTRO DE ENCUENTRO SUBA " fld="23" baseField="0" baseItem="0"/>
    <dataField name="Suma de SEDE 25 - SEDE ALTERNA TEQUENDAMA" fld="24" baseField="0" baseItem="0"/>
  </dataFields>
  <formats count="99">
    <format dxfId="203">
      <pivotArea outline="0" collapsedLevelsAreSubtotals="1" fieldPosition="0"/>
    </format>
    <format dxfId="202">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201">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200">
      <pivotArea type="all" dataOnly="0" outline="0" fieldPosition="0"/>
    </format>
    <format dxfId="199">
      <pivotArea outline="0" collapsedLevelsAreSubtotals="1" fieldPosition="0"/>
    </format>
    <format dxfId="198">
      <pivotArea field="25" type="button" dataOnly="0" labelOnly="1" outline="0" axis="axisRow" fieldPosition="0"/>
    </format>
    <format dxfId="197">
      <pivotArea dataOnly="0" labelOnly="1" fieldPosition="0">
        <references count="1">
          <reference field="25" count="0"/>
        </references>
      </pivotArea>
    </format>
    <format dxfId="196">
      <pivotArea dataOnly="0" labelOnly="1" grandRow="1" outline="0" fieldPosition="0"/>
    </format>
    <format dxfId="195">
      <pivotArea dataOnly="0" labelOnly="1" fieldPosition="0">
        <references count="2">
          <reference field="25" count="1" selected="0">
            <x v="0"/>
          </reference>
          <reference field="26" count="1">
            <x v="6"/>
          </reference>
        </references>
      </pivotArea>
    </format>
    <format dxfId="194">
      <pivotArea dataOnly="0" labelOnly="1" fieldPosition="0">
        <references count="2">
          <reference field="25" count="1" selected="0">
            <x v="1"/>
          </reference>
          <reference field="26" count="1">
            <x v="1"/>
          </reference>
        </references>
      </pivotArea>
    </format>
    <format dxfId="193">
      <pivotArea dataOnly="0" labelOnly="1" fieldPosition="0">
        <references count="2">
          <reference field="25" count="1" selected="0">
            <x v="2"/>
          </reference>
          <reference field="26" count="1">
            <x v="0"/>
          </reference>
        </references>
      </pivotArea>
    </format>
    <format dxfId="192">
      <pivotArea dataOnly="0" labelOnly="1" fieldPosition="0">
        <references count="2">
          <reference field="25" count="1" selected="0">
            <x v="3"/>
          </reference>
          <reference field="26" count="1">
            <x v="36"/>
          </reference>
        </references>
      </pivotArea>
    </format>
    <format dxfId="191">
      <pivotArea dataOnly="0" labelOnly="1" fieldPosition="0">
        <references count="2">
          <reference field="25" count="1" selected="0">
            <x v="4"/>
          </reference>
          <reference field="26" count="1">
            <x v="28"/>
          </reference>
        </references>
      </pivotArea>
    </format>
    <format dxfId="190">
      <pivotArea dataOnly="0" labelOnly="1" fieldPosition="0">
        <references count="2">
          <reference field="25" count="1" selected="0">
            <x v="5"/>
          </reference>
          <reference field="26" count="1">
            <x v="4"/>
          </reference>
        </references>
      </pivotArea>
    </format>
    <format dxfId="189">
      <pivotArea dataOnly="0" labelOnly="1" fieldPosition="0">
        <references count="2">
          <reference field="25" count="1" selected="0">
            <x v="6"/>
          </reference>
          <reference field="26" count="1">
            <x v="16"/>
          </reference>
        </references>
      </pivotArea>
    </format>
    <format dxfId="188">
      <pivotArea dataOnly="0" labelOnly="1" fieldPosition="0">
        <references count="2">
          <reference field="25" count="1" selected="0">
            <x v="7"/>
          </reference>
          <reference field="26" count="1">
            <x v="3"/>
          </reference>
        </references>
      </pivotArea>
    </format>
    <format dxfId="187">
      <pivotArea dataOnly="0" labelOnly="1" fieldPosition="0">
        <references count="2">
          <reference field="25" count="1" selected="0">
            <x v="8"/>
          </reference>
          <reference field="26" count="1">
            <x v="2"/>
          </reference>
        </references>
      </pivotArea>
    </format>
    <format dxfId="186">
      <pivotArea dataOnly="0" labelOnly="1" fieldPosition="0">
        <references count="2">
          <reference field="25" count="1" selected="0">
            <x v="9"/>
          </reference>
          <reference field="26" count="1">
            <x v="15"/>
          </reference>
        </references>
      </pivotArea>
    </format>
    <format dxfId="185">
      <pivotArea dataOnly="0" labelOnly="1" fieldPosition="0">
        <references count="2">
          <reference field="25" count="1" selected="0">
            <x v="10"/>
          </reference>
          <reference field="26" count="1">
            <x v="17"/>
          </reference>
        </references>
      </pivotArea>
    </format>
    <format dxfId="184">
      <pivotArea dataOnly="0" labelOnly="1" fieldPosition="0">
        <references count="2">
          <reference field="25" count="1" selected="0">
            <x v="11"/>
          </reference>
          <reference field="26" count="1">
            <x v="5"/>
          </reference>
        </references>
      </pivotArea>
    </format>
    <format dxfId="183">
      <pivotArea dataOnly="0" labelOnly="1" fieldPosition="0">
        <references count="2">
          <reference field="25" count="1" selected="0">
            <x v="12"/>
          </reference>
          <reference field="26" count="1">
            <x v="25"/>
          </reference>
        </references>
      </pivotArea>
    </format>
    <format dxfId="182">
      <pivotArea dataOnly="0" labelOnly="1" fieldPosition="0">
        <references count="2">
          <reference field="25" count="1" selected="0">
            <x v="13"/>
          </reference>
          <reference field="26" count="1">
            <x v="26"/>
          </reference>
        </references>
      </pivotArea>
    </format>
    <format dxfId="181">
      <pivotArea dataOnly="0" labelOnly="1" fieldPosition="0">
        <references count="2">
          <reference field="25" count="1" selected="0">
            <x v="14"/>
          </reference>
          <reference field="26" count="1">
            <x v="24"/>
          </reference>
        </references>
      </pivotArea>
    </format>
    <format dxfId="180">
      <pivotArea dataOnly="0" labelOnly="1" fieldPosition="0">
        <references count="2">
          <reference field="25" count="1" selected="0">
            <x v="15"/>
          </reference>
          <reference field="26" count="1">
            <x v="37"/>
          </reference>
        </references>
      </pivotArea>
    </format>
    <format dxfId="179">
      <pivotArea dataOnly="0" labelOnly="1" fieldPosition="0">
        <references count="2">
          <reference field="25" count="1" selected="0">
            <x v="16"/>
          </reference>
          <reference field="26" count="1">
            <x v="40"/>
          </reference>
        </references>
      </pivotArea>
    </format>
    <format dxfId="178">
      <pivotArea dataOnly="0" labelOnly="1" fieldPosition="0">
        <references count="2">
          <reference field="25" count="1" selected="0">
            <x v="17"/>
          </reference>
          <reference field="26" count="1">
            <x v="35"/>
          </reference>
        </references>
      </pivotArea>
    </format>
    <format dxfId="177">
      <pivotArea dataOnly="0" labelOnly="1" fieldPosition="0">
        <references count="2">
          <reference field="25" count="1" selected="0">
            <x v="18"/>
          </reference>
          <reference field="26" count="1">
            <x v="39"/>
          </reference>
        </references>
      </pivotArea>
    </format>
    <format dxfId="176">
      <pivotArea dataOnly="0" labelOnly="1" fieldPosition="0">
        <references count="2">
          <reference field="25" count="1" selected="0">
            <x v="19"/>
          </reference>
          <reference field="26" count="1">
            <x v="18"/>
          </reference>
        </references>
      </pivotArea>
    </format>
    <format dxfId="175">
      <pivotArea dataOnly="0" labelOnly="1" fieldPosition="0">
        <references count="2">
          <reference field="25" count="1" selected="0">
            <x v="20"/>
          </reference>
          <reference field="26" count="1">
            <x v="10"/>
          </reference>
        </references>
      </pivotArea>
    </format>
    <format dxfId="174">
      <pivotArea dataOnly="0" labelOnly="1" fieldPosition="0">
        <references count="2">
          <reference field="25" count="1" selected="0">
            <x v="21"/>
          </reference>
          <reference field="26" count="1">
            <x v="20"/>
          </reference>
        </references>
      </pivotArea>
    </format>
    <format dxfId="173">
      <pivotArea dataOnly="0" labelOnly="1" fieldPosition="0">
        <references count="2">
          <reference field="25" count="1" selected="0">
            <x v="22"/>
          </reference>
          <reference field="26" count="1">
            <x v="22"/>
          </reference>
        </references>
      </pivotArea>
    </format>
    <format dxfId="172">
      <pivotArea dataOnly="0" labelOnly="1" fieldPosition="0">
        <references count="2">
          <reference field="25" count="1" selected="0">
            <x v="23"/>
          </reference>
          <reference field="26" count="1">
            <x v="21"/>
          </reference>
        </references>
      </pivotArea>
    </format>
    <format dxfId="171">
      <pivotArea dataOnly="0" labelOnly="1" fieldPosition="0">
        <references count="2">
          <reference field="25" count="1" selected="0">
            <x v="24"/>
          </reference>
          <reference field="26" count="1">
            <x v="19"/>
          </reference>
        </references>
      </pivotArea>
    </format>
    <format dxfId="170">
      <pivotArea dataOnly="0" labelOnly="1" fieldPosition="0">
        <references count="2">
          <reference field="25" count="1" selected="0">
            <x v="25"/>
          </reference>
          <reference field="26" count="1">
            <x v="11"/>
          </reference>
        </references>
      </pivotArea>
    </format>
    <format dxfId="169">
      <pivotArea dataOnly="0" labelOnly="1" fieldPosition="0">
        <references count="2">
          <reference field="25" count="1" selected="0">
            <x v="26"/>
          </reference>
          <reference field="26" count="1">
            <x v="27"/>
          </reference>
        </references>
      </pivotArea>
    </format>
    <format dxfId="168">
      <pivotArea dataOnly="0" labelOnly="1" fieldPosition="0">
        <references count="2">
          <reference field="25" count="1" selected="0">
            <x v="27"/>
          </reference>
          <reference field="26" count="1">
            <x v="30"/>
          </reference>
        </references>
      </pivotArea>
    </format>
    <format dxfId="167">
      <pivotArea dataOnly="0" labelOnly="1" fieldPosition="0">
        <references count="2">
          <reference field="25" count="1" selected="0">
            <x v="28"/>
          </reference>
          <reference field="26" count="1">
            <x v="9"/>
          </reference>
        </references>
      </pivotArea>
    </format>
    <format dxfId="166">
      <pivotArea dataOnly="0" labelOnly="1" fieldPosition="0">
        <references count="2">
          <reference field="25" count="1" selected="0">
            <x v="29"/>
          </reference>
          <reference field="26" count="1">
            <x v="29"/>
          </reference>
        </references>
      </pivotArea>
    </format>
    <format dxfId="165">
      <pivotArea dataOnly="0" labelOnly="1" fieldPosition="0">
        <references count="2">
          <reference field="25" count="1" selected="0">
            <x v="30"/>
          </reference>
          <reference field="26" count="1">
            <x v="7"/>
          </reference>
        </references>
      </pivotArea>
    </format>
    <format dxfId="164">
      <pivotArea dataOnly="0" labelOnly="1" fieldPosition="0">
        <references count="2">
          <reference field="25" count="1" selected="0">
            <x v="31"/>
          </reference>
          <reference field="26" count="1">
            <x v="31"/>
          </reference>
        </references>
      </pivotArea>
    </format>
    <format dxfId="163">
      <pivotArea dataOnly="0" labelOnly="1" fieldPosition="0">
        <references count="2">
          <reference field="25" count="1" selected="0">
            <x v="32"/>
          </reference>
          <reference field="26" count="1">
            <x v="32"/>
          </reference>
        </references>
      </pivotArea>
    </format>
    <format dxfId="162">
      <pivotArea dataOnly="0" labelOnly="1" fieldPosition="0">
        <references count="2">
          <reference field="25" count="1" selected="0">
            <x v="33"/>
          </reference>
          <reference field="26" count="1">
            <x v="12"/>
          </reference>
        </references>
      </pivotArea>
    </format>
    <format dxfId="161">
      <pivotArea dataOnly="0" labelOnly="1" fieldPosition="0">
        <references count="2">
          <reference field="25" count="1" selected="0">
            <x v="34"/>
          </reference>
          <reference field="26" count="1">
            <x v="41"/>
          </reference>
        </references>
      </pivotArea>
    </format>
    <format dxfId="160">
      <pivotArea dataOnly="0" labelOnly="1" fieldPosition="0">
        <references count="2">
          <reference field="25" count="1" selected="0">
            <x v="35"/>
          </reference>
          <reference field="26" count="1">
            <x v="38"/>
          </reference>
        </references>
      </pivotArea>
    </format>
    <format dxfId="159">
      <pivotArea dataOnly="0" labelOnly="1" fieldPosition="0">
        <references count="2">
          <reference field="25" count="1" selected="0">
            <x v="36"/>
          </reference>
          <reference field="26" count="1">
            <x v="13"/>
          </reference>
        </references>
      </pivotArea>
    </format>
    <format dxfId="158">
      <pivotArea dataOnly="0" labelOnly="1" fieldPosition="0">
        <references count="2">
          <reference field="25" count="1" selected="0">
            <x v="37"/>
          </reference>
          <reference field="26" count="1">
            <x v="8"/>
          </reference>
        </references>
      </pivotArea>
    </format>
    <format dxfId="157">
      <pivotArea dataOnly="0" labelOnly="1" fieldPosition="0">
        <references count="2">
          <reference field="25" count="1" selected="0">
            <x v="38"/>
          </reference>
          <reference field="26" count="1">
            <x v="14"/>
          </reference>
        </references>
      </pivotArea>
    </format>
    <format dxfId="156">
      <pivotArea dataOnly="0" labelOnly="1" fieldPosition="0">
        <references count="2">
          <reference field="25" count="1" selected="0">
            <x v="39"/>
          </reference>
          <reference field="26" count="1">
            <x v="23"/>
          </reference>
        </references>
      </pivotArea>
    </format>
    <format dxfId="155">
      <pivotArea dataOnly="0" labelOnly="1" fieldPosition="0">
        <references count="2">
          <reference field="25" count="1" selected="0">
            <x v="40"/>
          </reference>
          <reference field="26" count="1">
            <x v="33"/>
          </reference>
        </references>
      </pivotArea>
    </format>
    <format dxfId="154">
      <pivotArea dataOnly="0" labelOnly="1" fieldPosition="0">
        <references count="2">
          <reference field="25" count="1" selected="0">
            <x v="41"/>
          </reference>
          <reference field="26" count="1">
            <x v="34"/>
          </reference>
        </references>
      </pivotArea>
    </format>
    <format dxfId="153">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152">
      <pivotArea type="all" dataOnly="0" outline="0" fieldPosition="0"/>
    </format>
    <format dxfId="151">
      <pivotArea outline="0" collapsedLevelsAreSubtotals="1" fieldPosition="0"/>
    </format>
    <format dxfId="150">
      <pivotArea field="25" type="button" dataOnly="0" labelOnly="1" outline="0" axis="axisRow" fieldPosition="0"/>
    </format>
    <format dxfId="149">
      <pivotArea dataOnly="0" labelOnly="1" fieldPosition="0">
        <references count="1">
          <reference field="25" count="0"/>
        </references>
      </pivotArea>
    </format>
    <format dxfId="148">
      <pivotArea dataOnly="0" labelOnly="1" grandRow="1" outline="0" fieldPosition="0"/>
    </format>
    <format dxfId="147">
      <pivotArea dataOnly="0" labelOnly="1" fieldPosition="0">
        <references count="2">
          <reference field="25" count="1" selected="0">
            <x v="0"/>
          </reference>
          <reference field="26" count="1">
            <x v="6"/>
          </reference>
        </references>
      </pivotArea>
    </format>
    <format dxfId="146">
      <pivotArea dataOnly="0" labelOnly="1" fieldPosition="0">
        <references count="2">
          <reference field="25" count="1" selected="0">
            <x v="1"/>
          </reference>
          <reference field="26" count="1">
            <x v="1"/>
          </reference>
        </references>
      </pivotArea>
    </format>
    <format dxfId="145">
      <pivotArea dataOnly="0" labelOnly="1" fieldPosition="0">
        <references count="2">
          <reference field="25" count="1" selected="0">
            <x v="2"/>
          </reference>
          <reference field="26" count="1">
            <x v="0"/>
          </reference>
        </references>
      </pivotArea>
    </format>
    <format dxfId="144">
      <pivotArea dataOnly="0" labelOnly="1" fieldPosition="0">
        <references count="2">
          <reference field="25" count="1" selected="0">
            <x v="3"/>
          </reference>
          <reference field="26" count="1">
            <x v="36"/>
          </reference>
        </references>
      </pivotArea>
    </format>
    <format dxfId="143">
      <pivotArea dataOnly="0" labelOnly="1" fieldPosition="0">
        <references count="2">
          <reference field="25" count="1" selected="0">
            <x v="4"/>
          </reference>
          <reference field="26" count="1">
            <x v="28"/>
          </reference>
        </references>
      </pivotArea>
    </format>
    <format dxfId="142">
      <pivotArea dataOnly="0" labelOnly="1" fieldPosition="0">
        <references count="2">
          <reference field="25" count="1" selected="0">
            <x v="5"/>
          </reference>
          <reference field="26" count="1">
            <x v="4"/>
          </reference>
        </references>
      </pivotArea>
    </format>
    <format dxfId="141">
      <pivotArea dataOnly="0" labelOnly="1" fieldPosition="0">
        <references count="2">
          <reference field="25" count="1" selected="0">
            <x v="6"/>
          </reference>
          <reference field="26" count="1">
            <x v="16"/>
          </reference>
        </references>
      </pivotArea>
    </format>
    <format dxfId="140">
      <pivotArea dataOnly="0" labelOnly="1" fieldPosition="0">
        <references count="2">
          <reference field="25" count="1" selected="0">
            <x v="7"/>
          </reference>
          <reference field="26" count="1">
            <x v="3"/>
          </reference>
        </references>
      </pivotArea>
    </format>
    <format dxfId="139">
      <pivotArea dataOnly="0" labelOnly="1" fieldPosition="0">
        <references count="2">
          <reference field="25" count="1" selected="0">
            <x v="8"/>
          </reference>
          <reference field="26" count="1">
            <x v="2"/>
          </reference>
        </references>
      </pivotArea>
    </format>
    <format dxfId="138">
      <pivotArea dataOnly="0" labelOnly="1" fieldPosition="0">
        <references count="2">
          <reference field="25" count="1" selected="0">
            <x v="9"/>
          </reference>
          <reference field="26" count="1">
            <x v="15"/>
          </reference>
        </references>
      </pivotArea>
    </format>
    <format dxfId="137">
      <pivotArea dataOnly="0" labelOnly="1" fieldPosition="0">
        <references count="2">
          <reference field="25" count="1" selected="0">
            <x v="10"/>
          </reference>
          <reference field="26" count="1">
            <x v="17"/>
          </reference>
        </references>
      </pivotArea>
    </format>
    <format dxfId="136">
      <pivotArea dataOnly="0" labelOnly="1" fieldPosition="0">
        <references count="2">
          <reference field="25" count="1" selected="0">
            <x v="11"/>
          </reference>
          <reference field="26" count="1">
            <x v="5"/>
          </reference>
        </references>
      </pivotArea>
    </format>
    <format dxfId="135">
      <pivotArea dataOnly="0" labelOnly="1" fieldPosition="0">
        <references count="2">
          <reference field="25" count="1" selected="0">
            <x v="12"/>
          </reference>
          <reference field="26" count="1">
            <x v="25"/>
          </reference>
        </references>
      </pivotArea>
    </format>
    <format dxfId="134">
      <pivotArea dataOnly="0" labelOnly="1" fieldPosition="0">
        <references count="2">
          <reference field="25" count="1" selected="0">
            <x v="13"/>
          </reference>
          <reference field="26" count="1">
            <x v="26"/>
          </reference>
        </references>
      </pivotArea>
    </format>
    <format dxfId="133">
      <pivotArea dataOnly="0" labelOnly="1" fieldPosition="0">
        <references count="2">
          <reference field="25" count="1" selected="0">
            <x v="14"/>
          </reference>
          <reference field="26" count="1">
            <x v="24"/>
          </reference>
        </references>
      </pivotArea>
    </format>
    <format dxfId="132">
      <pivotArea dataOnly="0" labelOnly="1" fieldPosition="0">
        <references count="2">
          <reference field="25" count="1" selected="0">
            <x v="15"/>
          </reference>
          <reference field="26" count="1">
            <x v="37"/>
          </reference>
        </references>
      </pivotArea>
    </format>
    <format dxfId="131">
      <pivotArea dataOnly="0" labelOnly="1" fieldPosition="0">
        <references count="2">
          <reference field="25" count="1" selected="0">
            <x v="16"/>
          </reference>
          <reference field="26" count="1">
            <x v="40"/>
          </reference>
        </references>
      </pivotArea>
    </format>
    <format dxfId="130">
      <pivotArea dataOnly="0" labelOnly="1" fieldPosition="0">
        <references count="2">
          <reference field="25" count="1" selected="0">
            <x v="17"/>
          </reference>
          <reference field="26" count="1">
            <x v="35"/>
          </reference>
        </references>
      </pivotArea>
    </format>
    <format dxfId="129">
      <pivotArea dataOnly="0" labelOnly="1" fieldPosition="0">
        <references count="2">
          <reference field="25" count="1" selected="0">
            <x v="18"/>
          </reference>
          <reference field="26" count="1">
            <x v="39"/>
          </reference>
        </references>
      </pivotArea>
    </format>
    <format dxfId="128">
      <pivotArea dataOnly="0" labelOnly="1" fieldPosition="0">
        <references count="2">
          <reference field="25" count="1" selected="0">
            <x v="19"/>
          </reference>
          <reference field="26" count="1">
            <x v="18"/>
          </reference>
        </references>
      </pivotArea>
    </format>
    <format dxfId="127">
      <pivotArea dataOnly="0" labelOnly="1" fieldPosition="0">
        <references count="2">
          <reference field="25" count="1" selected="0">
            <x v="20"/>
          </reference>
          <reference field="26" count="1">
            <x v="10"/>
          </reference>
        </references>
      </pivotArea>
    </format>
    <format dxfId="126">
      <pivotArea dataOnly="0" labelOnly="1" fieldPosition="0">
        <references count="2">
          <reference field="25" count="1" selected="0">
            <x v="21"/>
          </reference>
          <reference field="26" count="1">
            <x v="20"/>
          </reference>
        </references>
      </pivotArea>
    </format>
    <format dxfId="125">
      <pivotArea dataOnly="0" labelOnly="1" fieldPosition="0">
        <references count="2">
          <reference field="25" count="1" selected="0">
            <x v="22"/>
          </reference>
          <reference field="26" count="1">
            <x v="22"/>
          </reference>
        </references>
      </pivotArea>
    </format>
    <format dxfId="124">
      <pivotArea dataOnly="0" labelOnly="1" fieldPosition="0">
        <references count="2">
          <reference field="25" count="1" selected="0">
            <x v="23"/>
          </reference>
          <reference field="26" count="1">
            <x v="21"/>
          </reference>
        </references>
      </pivotArea>
    </format>
    <format dxfId="123">
      <pivotArea dataOnly="0" labelOnly="1" fieldPosition="0">
        <references count="2">
          <reference field="25" count="1" selected="0">
            <x v="24"/>
          </reference>
          <reference field="26" count="1">
            <x v="19"/>
          </reference>
        </references>
      </pivotArea>
    </format>
    <format dxfId="122">
      <pivotArea dataOnly="0" labelOnly="1" fieldPosition="0">
        <references count="2">
          <reference field="25" count="1" selected="0">
            <x v="25"/>
          </reference>
          <reference field="26" count="1">
            <x v="11"/>
          </reference>
        </references>
      </pivotArea>
    </format>
    <format dxfId="121">
      <pivotArea dataOnly="0" labelOnly="1" fieldPosition="0">
        <references count="2">
          <reference field="25" count="1" selected="0">
            <x v="26"/>
          </reference>
          <reference field="26" count="1">
            <x v="27"/>
          </reference>
        </references>
      </pivotArea>
    </format>
    <format dxfId="120">
      <pivotArea dataOnly="0" labelOnly="1" fieldPosition="0">
        <references count="2">
          <reference field="25" count="1" selected="0">
            <x v="27"/>
          </reference>
          <reference field="26" count="1">
            <x v="30"/>
          </reference>
        </references>
      </pivotArea>
    </format>
    <format dxfId="119">
      <pivotArea dataOnly="0" labelOnly="1" fieldPosition="0">
        <references count="2">
          <reference field="25" count="1" selected="0">
            <x v="28"/>
          </reference>
          <reference field="26" count="1">
            <x v="9"/>
          </reference>
        </references>
      </pivotArea>
    </format>
    <format dxfId="118">
      <pivotArea dataOnly="0" labelOnly="1" fieldPosition="0">
        <references count="2">
          <reference field="25" count="1" selected="0">
            <x v="29"/>
          </reference>
          <reference field="26" count="1">
            <x v="29"/>
          </reference>
        </references>
      </pivotArea>
    </format>
    <format dxfId="117">
      <pivotArea dataOnly="0" labelOnly="1" fieldPosition="0">
        <references count="2">
          <reference field="25" count="1" selected="0">
            <x v="30"/>
          </reference>
          <reference field="26" count="1">
            <x v="7"/>
          </reference>
        </references>
      </pivotArea>
    </format>
    <format dxfId="116">
      <pivotArea dataOnly="0" labelOnly="1" fieldPosition="0">
        <references count="2">
          <reference field="25" count="1" selected="0">
            <x v="31"/>
          </reference>
          <reference field="26" count="1">
            <x v="31"/>
          </reference>
        </references>
      </pivotArea>
    </format>
    <format dxfId="115">
      <pivotArea dataOnly="0" labelOnly="1" fieldPosition="0">
        <references count="2">
          <reference field="25" count="1" selected="0">
            <x v="32"/>
          </reference>
          <reference field="26" count="1">
            <x v="32"/>
          </reference>
        </references>
      </pivotArea>
    </format>
    <format dxfId="114">
      <pivotArea dataOnly="0" labelOnly="1" fieldPosition="0">
        <references count="2">
          <reference field="25" count="1" selected="0">
            <x v="33"/>
          </reference>
          <reference field="26" count="1">
            <x v="12"/>
          </reference>
        </references>
      </pivotArea>
    </format>
    <format dxfId="113">
      <pivotArea dataOnly="0" labelOnly="1" fieldPosition="0">
        <references count="2">
          <reference field="25" count="1" selected="0">
            <x v="34"/>
          </reference>
          <reference field="26" count="1">
            <x v="41"/>
          </reference>
        </references>
      </pivotArea>
    </format>
    <format dxfId="112">
      <pivotArea dataOnly="0" labelOnly="1" fieldPosition="0">
        <references count="2">
          <reference field="25" count="1" selected="0">
            <x v="35"/>
          </reference>
          <reference field="26" count="1">
            <x v="38"/>
          </reference>
        </references>
      </pivotArea>
    </format>
    <format dxfId="111">
      <pivotArea dataOnly="0" labelOnly="1" fieldPosition="0">
        <references count="2">
          <reference field="25" count="1" selected="0">
            <x v="36"/>
          </reference>
          <reference field="26" count="1">
            <x v="13"/>
          </reference>
        </references>
      </pivotArea>
    </format>
    <format dxfId="110">
      <pivotArea dataOnly="0" labelOnly="1" fieldPosition="0">
        <references count="2">
          <reference field="25" count="1" selected="0">
            <x v="37"/>
          </reference>
          <reference field="26" count="1">
            <x v="8"/>
          </reference>
        </references>
      </pivotArea>
    </format>
    <format dxfId="109">
      <pivotArea dataOnly="0" labelOnly="1" fieldPosition="0">
        <references count="2">
          <reference field="25" count="1" selected="0">
            <x v="38"/>
          </reference>
          <reference field="26" count="1">
            <x v="14"/>
          </reference>
        </references>
      </pivotArea>
    </format>
    <format dxfId="108">
      <pivotArea dataOnly="0" labelOnly="1" fieldPosition="0">
        <references count="2">
          <reference field="25" count="1" selected="0">
            <x v="39"/>
          </reference>
          <reference field="26" count="1">
            <x v="23"/>
          </reference>
        </references>
      </pivotArea>
    </format>
    <format dxfId="107">
      <pivotArea dataOnly="0" labelOnly="1" fieldPosition="0">
        <references count="2">
          <reference field="25" count="1" selected="0">
            <x v="40"/>
          </reference>
          <reference field="26" count="1">
            <x v="33"/>
          </reference>
        </references>
      </pivotArea>
    </format>
    <format dxfId="106">
      <pivotArea dataOnly="0" labelOnly="1" fieldPosition="0">
        <references count="2">
          <reference field="25" count="1" selected="0">
            <x v="41"/>
          </reference>
          <reference field="26" count="1">
            <x v="34"/>
          </reference>
        </references>
      </pivotArea>
    </format>
    <format dxfId="105">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Z49" firstHeaderRow="0" firstDataRow="1" firstDataCol="1"/>
  <pivotFields count="27">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axis="axisRow" showAll="0">
      <items count="44">
        <item sd="0" x="33"/>
        <item sd="0" x="31"/>
        <item sd="0" x="32"/>
        <item sd="0" x="35"/>
        <item sd="0" x="34"/>
        <item sd="0" x="36"/>
        <item sd="0" x="28"/>
        <item sd="0" x="14"/>
        <item sd="0" x="19"/>
        <item sd="0" x="13"/>
        <item sd="0" x="21"/>
        <item sd="0" x="26"/>
        <item sd="0" x="22"/>
        <item sd="0" x="27"/>
        <item sd="0" x="24"/>
        <item sd="0" x="23"/>
        <item sd="0" x="25"/>
        <item sd="0" x="12"/>
        <item sd="0" x="5"/>
        <item sd="0" x="8"/>
        <item sd="0" x="4"/>
        <item sd="0" x="1"/>
        <item sd="0" x="0"/>
        <item sd="0" x="2"/>
        <item sd="0" x="3"/>
        <item sd="0" x="6"/>
        <item sd="0" x="7"/>
        <item sd="0" x="11"/>
        <item sd="0" x="9"/>
        <item sd="0" x="10"/>
        <item sd="0" x="20"/>
        <item sd="0" x="41"/>
        <item sd="0" x="37"/>
        <item sd="0" x="29"/>
        <item sd="0" x="39"/>
        <item sd="0" x="40"/>
        <item sd="0" x="16"/>
        <item sd="0" x="18"/>
        <item sd="0" x="15"/>
        <item sd="0" x="17"/>
        <item sd="0" x="38"/>
        <item sd="0" x="42"/>
        <item x="30"/>
        <item t="default"/>
      </items>
    </pivotField>
    <pivotField axis="axisRow" showAll="0">
      <items count="44">
        <item x="32"/>
        <item x="31"/>
        <item x="19"/>
        <item x="14"/>
        <item x="36"/>
        <item x="26"/>
        <item x="33"/>
        <item x="20"/>
        <item x="18"/>
        <item x="9"/>
        <item x="4"/>
        <item x="6"/>
        <item x="29"/>
        <item x="16"/>
        <item x="15"/>
        <item x="13"/>
        <item x="28"/>
        <item x="21"/>
        <item x="8"/>
        <item x="3"/>
        <item x="1"/>
        <item x="2"/>
        <item x="0"/>
        <item x="17"/>
        <item x="24"/>
        <item x="22"/>
        <item x="27"/>
        <item x="7"/>
        <item x="34"/>
        <item x="10"/>
        <item x="11"/>
        <item x="41"/>
        <item x="37"/>
        <item x="38"/>
        <item x="42"/>
        <item x="12"/>
        <item x="35"/>
        <item x="23"/>
        <item x="40"/>
        <item x="5"/>
        <item x="25"/>
        <item x="39"/>
        <item x="30"/>
        <item t="default"/>
      </items>
    </pivotField>
  </pivotFields>
  <rowFields count="2">
    <field x="25"/>
    <field x="26"/>
  </rowFields>
  <rowItems count="4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r="1">
      <x v="42"/>
    </i>
    <i t="grand">
      <x/>
    </i>
  </rowItems>
  <colFields count="1">
    <field x="-2"/>
  </colFields>
  <colItems count="25">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colItems>
  <dataFields count="25">
    <dataField name="Suma de SEDE 1 - MANZANA LIEVANO - ALCALDÍA MAYOR" fld="0" baseField="0" baseItem="0"/>
    <dataField name="Suma de SEDE 2- DIRECCIÓN DISTRITAL DE ARCHIVO DE  BOGOTA " fld="1" baseField="0" baseItem="0"/>
    <dataField name="Suma de SEDE 3 - IMPRENTA DISTRITAL" fld="2" baseField="0" baseItem="0"/>
    <dataField name="Suma de SEDE 4 - SEDE ALTERNA RESTREPO " fld="3" baseField="0" baseItem="0"/>
    <dataField name="Suma de SEDE 5 - SUPERCADE CAD CARRERA " fld="4" baseField="0" baseItem="0"/>
    <dataField name="Suma de SEDE 6 - SUPERCADE AMERICAS " fld="5" baseField="0" baseItem="0"/>
    <dataField name="Suma de SEDE 7 - SUPERCADE BOSA " fld="6" baseField="0" baseItem="0"/>
    <dataField name="Suma de SEDE 8 - SUPERCADE CALLE 13 " fld="7" baseField="0" baseItem="0"/>
    <dataField name="Suma de SEDE 9 - SUPERCADE 20 DE JULIO " fld="8" baseField="0" baseItem="0"/>
    <dataField name="Suma de SEDE 10 - SUPERCADE MANITAS " fld="9" baseField="0" baseItem="0"/>
    <dataField name="Suma de SEDE 11 - SUPERCADE SUBA " fld="10" baseField="0" baseItem="0"/>
    <dataField name="Suma de SEDE 12 - SUPERCADE SOCIAL" fld="11" baseField="0" baseItem="0"/>
    <dataField name="Suma de SEDE 13 - CADE SERVITA " fld="12" baseField="0" baseItem="0"/>
    <dataField name="Suma de SEDE 14 - CADE LA VICTORIA " fld="13" baseField="0" baseItem="0"/>
    <dataField name="Suma de SEDE 15 - CADE LA GAITANA " fld="14" baseField="0" baseItem="0"/>
    <dataField name="Suma de SEDE 16 - SUPERCADE ENGATIVA " fld="15" baseField="0" baseItem="0"/>
    <dataField name="Suma de SEDE 17 - CADE LOS LUCEROS " fld="16" baseField="0" baseItem="0"/>
    <dataField name="Suma de SEDE 18 - CENTRO DE MEMORIA, PAZ Y RECONCILIACIÓN " fld="17" baseField="0" baseItem="0"/>
    <dataField name="Suma de SEDE 19 - CENTRO DE ENCUENTRO BOSA " fld="18" baseField="0" baseItem="0"/>
    <dataField name="Suma de SEDE 20 - CENTRO DE ENCUENTRO CHAPINERO " fld="19" baseField="0" baseItem="0"/>
    <dataField name="Suma de SEDE 21 - CENTRO DE ENCUENTRO CIUDAD BOLIVAR " fld="20" baseField="0" baseItem="0"/>
    <dataField name="Suma de SEDE 22 - CENTRO DE ENCUENTRO KENNEDY PATIO BONITO " fld="21" baseField="0" baseItem="0"/>
    <dataField name="Suma de SEDE 23 - CENTRO DE ENCUENTRO RAFAEL URIBE " fld="22" baseField="0" baseItem="0"/>
    <dataField name="Suma de SEDE 24 - CENTRO DE ENCUENTRO SUBA " fld="23" baseField="0" baseItem="0"/>
    <dataField name="Suma de SEDE 25 - SEDE ALTERNA TEQUENDAMA" fld="24" baseField="0" baseItem="0"/>
  </dataFields>
  <formats count="99">
    <format dxfId="104">
      <pivotArea outline="0" collapsedLevelsAreSubtotals="1" fieldPosition="0"/>
    </format>
    <format dxfId="103">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102">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101">
      <pivotArea type="all" dataOnly="0" outline="0" fieldPosition="0"/>
    </format>
    <format dxfId="100">
      <pivotArea outline="0" collapsedLevelsAreSubtotals="1" fieldPosition="0"/>
    </format>
    <format dxfId="99">
      <pivotArea field="25" type="button" dataOnly="0" labelOnly="1" outline="0" axis="axisRow" fieldPosition="0"/>
    </format>
    <format dxfId="98">
      <pivotArea dataOnly="0" labelOnly="1" fieldPosition="0">
        <references count="1">
          <reference field="25" count="0"/>
        </references>
      </pivotArea>
    </format>
    <format dxfId="97">
      <pivotArea dataOnly="0" labelOnly="1" grandRow="1" outline="0" fieldPosition="0"/>
    </format>
    <format dxfId="96">
      <pivotArea dataOnly="0" labelOnly="1" fieldPosition="0">
        <references count="2">
          <reference field="25" count="1" selected="0">
            <x v="0"/>
          </reference>
          <reference field="26" count="1">
            <x v="6"/>
          </reference>
        </references>
      </pivotArea>
    </format>
    <format dxfId="95">
      <pivotArea dataOnly="0" labelOnly="1" fieldPosition="0">
        <references count="2">
          <reference field="25" count="1" selected="0">
            <x v="1"/>
          </reference>
          <reference field="26" count="1">
            <x v="1"/>
          </reference>
        </references>
      </pivotArea>
    </format>
    <format dxfId="94">
      <pivotArea dataOnly="0" labelOnly="1" fieldPosition="0">
        <references count="2">
          <reference field="25" count="1" selected="0">
            <x v="2"/>
          </reference>
          <reference field="26" count="1">
            <x v="0"/>
          </reference>
        </references>
      </pivotArea>
    </format>
    <format dxfId="93">
      <pivotArea dataOnly="0" labelOnly="1" fieldPosition="0">
        <references count="2">
          <reference field="25" count="1" selected="0">
            <x v="3"/>
          </reference>
          <reference field="26" count="1">
            <x v="36"/>
          </reference>
        </references>
      </pivotArea>
    </format>
    <format dxfId="92">
      <pivotArea dataOnly="0" labelOnly="1" fieldPosition="0">
        <references count="2">
          <reference field="25" count="1" selected="0">
            <x v="4"/>
          </reference>
          <reference field="26" count="1">
            <x v="28"/>
          </reference>
        </references>
      </pivotArea>
    </format>
    <format dxfId="91">
      <pivotArea dataOnly="0" labelOnly="1" fieldPosition="0">
        <references count="2">
          <reference field="25" count="1" selected="0">
            <x v="5"/>
          </reference>
          <reference field="26" count="1">
            <x v="4"/>
          </reference>
        </references>
      </pivotArea>
    </format>
    <format dxfId="90">
      <pivotArea dataOnly="0" labelOnly="1" fieldPosition="0">
        <references count="2">
          <reference field="25" count="1" selected="0">
            <x v="6"/>
          </reference>
          <reference field="26" count="1">
            <x v="16"/>
          </reference>
        </references>
      </pivotArea>
    </format>
    <format dxfId="89">
      <pivotArea dataOnly="0" labelOnly="1" fieldPosition="0">
        <references count="2">
          <reference field="25" count="1" selected="0">
            <x v="7"/>
          </reference>
          <reference field="26" count="1">
            <x v="3"/>
          </reference>
        </references>
      </pivotArea>
    </format>
    <format dxfId="88">
      <pivotArea dataOnly="0" labelOnly="1" fieldPosition="0">
        <references count="2">
          <reference field="25" count="1" selected="0">
            <x v="8"/>
          </reference>
          <reference field="26" count="1">
            <x v="2"/>
          </reference>
        </references>
      </pivotArea>
    </format>
    <format dxfId="87">
      <pivotArea dataOnly="0" labelOnly="1" fieldPosition="0">
        <references count="2">
          <reference field="25" count="1" selected="0">
            <x v="9"/>
          </reference>
          <reference field="26" count="1">
            <x v="15"/>
          </reference>
        </references>
      </pivotArea>
    </format>
    <format dxfId="86">
      <pivotArea dataOnly="0" labelOnly="1" fieldPosition="0">
        <references count="2">
          <reference field="25" count="1" selected="0">
            <x v="10"/>
          </reference>
          <reference field="26" count="1">
            <x v="17"/>
          </reference>
        </references>
      </pivotArea>
    </format>
    <format dxfId="85">
      <pivotArea dataOnly="0" labelOnly="1" fieldPosition="0">
        <references count="2">
          <reference field="25" count="1" selected="0">
            <x v="11"/>
          </reference>
          <reference field="26" count="1">
            <x v="5"/>
          </reference>
        </references>
      </pivotArea>
    </format>
    <format dxfId="84">
      <pivotArea dataOnly="0" labelOnly="1" fieldPosition="0">
        <references count="2">
          <reference field="25" count="1" selected="0">
            <x v="12"/>
          </reference>
          <reference field="26" count="1">
            <x v="25"/>
          </reference>
        </references>
      </pivotArea>
    </format>
    <format dxfId="83">
      <pivotArea dataOnly="0" labelOnly="1" fieldPosition="0">
        <references count="2">
          <reference field="25" count="1" selected="0">
            <x v="13"/>
          </reference>
          <reference field="26" count="1">
            <x v="26"/>
          </reference>
        </references>
      </pivotArea>
    </format>
    <format dxfId="82">
      <pivotArea dataOnly="0" labelOnly="1" fieldPosition="0">
        <references count="2">
          <reference field="25" count="1" selected="0">
            <x v="14"/>
          </reference>
          <reference field="26" count="1">
            <x v="24"/>
          </reference>
        </references>
      </pivotArea>
    </format>
    <format dxfId="81">
      <pivotArea dataOnly="0" labelOnly="1" fieldPosition="0">
        <references count="2">
          <reference field="25" count="1" selected="0">
            <x v="15"/>
          </reference>
          <reference field="26" count="1">
            <x v="37"/>
          </reference>
        </references>
      </pivotArea>
    </format>
    <format dxfId="80">
      <pivotArea dataOnly="0" labelOnly="1" fieldPosition="0">
        <references count="2">
          <reference field="25" count="1" selected="0">
            <x v="16"/>
          </reference>
          <reference field="26" count="1">
            <x v="40"/>
          </reference>
        </references>
      </pivotArea>
    </format>
    <format dxfId="79">
      <pivotArea dataOnly="0" labelOnly="1" fieldPosition="0">
        <references count="2">
          <reference field="25" count="1" selected="0">
            <x v="17"/>
          </reference>
          <reference field="26" count="1">
            <x v="35"/>
          </reference>
        </references>
      </pivotArea>
    </format>
    <format dxfId="78">
      <pivotArea dataOnly="0" labelOnly="1" fieldPosition="0">
        <references count="2">
          <reference field="25" count="1" selected="0">
            <x v="18"/>
          </reference>
          <reference field="26" count="1">
            <x v="39"/>
          </reference>
        </references>
      </pivotArea>
    </format>
    <format dxfId="77">
      <pivotArea dataOnly="0" labelOnly="1" fieldPosition="0">
        <references count="2">
          <reference field="25" count="1" selected="0">
            <x v="19"/>
          </reference>
          <reference field="26" count="1">
            <x v="18"/>
          </reference>
        </references>
      </pivotArea>
    </format>
    <format dxfId="76">
      <pivotArea dataOnly="0" labelOnly="1" fieldPosition="0">
        <references count="2">
          <reference field="25" count="1" selected="0">
            <x v="20"/>
          </reference>
          <reference field="26" count="1">
            <x v="10"/>
          </reference>
        </references>
      </pivotArea>
    </format>
    <format dxfId="75">
      <pivotArea dataOnly="0" labelOnly="1" fieldPosition="0">
        <references count="2">
          <reference field="25" count="1" selected="0">
            <x v="21"/>
          </reference>
          <reference field="26" count="1">
            <x v="20"/>
          </reference>
        </references>
      </pivotArea>
    </format>
    <format dxfId="74">
      <pivotArea dataOnly="0" labelOnly="1" fieldPosition="0">
        <references count="2">
          <reference field="25" count="1" selected="0">
            <x v="22"/>
          </reference>
          <reference field="26" count="1">
            <x v="22"/>
          </reference>
        </references>
      </pivotArea>
    </format>
    <format dxfId="73">
      <pivotArea dataOnly="0" labelOnly="1" fieldPosition="0">
        <references count="2">
          <reference field="25" count="1" selected="0">
            <x v="23"/>
          </reference>
          <reference field="26" count="1">
            <x v="21"/>
          </reference>
        </references>
      </pivotArea>
    </format>
    <format dxfId="72">
      <pivotArea dataOnly="0" labelOnly="1" fieldPosition="0">
        <references count="2">
          <reference field="25" count="1" selected="0">
            <x v="24"/>
          </reference>
          <reference field="26" count="1">
            <x v="19"/>
          </reference>
        </references>
      </pivotArea>
    </format>
    <format dxfId="71">
      <pivotArea dataOnly="0" labelOnly="1" fieldPosition="0">
        <references count="2">
          <reference field="25" count="1" selected="0">
            <x v="25"/>
          </reference>
          <reference field="26" count="1">
            <x v="11"/>
          </reference>
        </references>
      </pivotArea>
    </format>
    <format dxfId="70">
      <pivotArea dataOnly="0" labelOnly="1" fieldPosition="0">
        <references count="2">
          <reference field="25" count="1" selected="0">
            <x v="26"/>
          </reference>
          <reference field="26" count="1">
            <x v="27"/>
          </reference>
        </references>
      </pivotArea>
    </format>
    <format dxfId="69">
      <pivotArea dataOnly="0" labelOnly="1" fieldPosition="0">
        <references count="2">
          <reference field="25" count="1" selected="0">
            <x v="27"/>
          </reference>
          <reference field="26" count="1">
            <x v="30"/>
          </reference>
        </references>
      </pivotArea>
    </format>
    <format dxfId="68">
      <pivotArea dataOnly="0" labelOnly="1" fieldPosition="0">
        <references count="2">
          <reference field="25" count="1" selected="0">
            <x v="28"/>
          </reference>
          <reference field="26" count="1">
            <x v="9"/>
          </reference>
        </references>
      </pivotArea>
    </format>
    <format dxfId="67">
      <pivotArea dataOnly="0" labelOnly="1" fieldPosition="0">
        <references count="2">
          <reference field="25" count="1" selected="0">
            <x v="29"/>
          </reference>
          <reference field="26" count="1">
            <x v="29"/>
          </reference>
        </references>
      </pivotArea>
    </format>
    <format dxfId="66">
      <pivotArea dataOnly="0" labelOnly="1" fieldPosition="0">
        <references count="2">
          <reference field="25" count="1" selected="0">
            <x v="30"/>
          </reference>
          <reference field="26" count="1">
            <x v="7"/>
          </reference>
        </references>
      </pivotArea>
    </format>
    <format dxfId="65">
      <pivotArea dataOnly="0" labelOnly="1" fieldPosition="0">
        <references count="2">
          <reference field="25" count="1" selected="0">
            <x v="31"/>
          </reference>
          <reference field="26" count="1">
            <x v="31"/>
          </reference>
        </references>
      </pivotArea>
    </format>
    <format dxfId="64">
      <pivotArea dataOnly="0" labelOnly="1" fieldPosition="0">
        <references count="2">
          <reference field="25" count="1" selected="0">
            <x v="32"/>
          </reference>
          <reference field="26" count="1">
            <x v="32"/>
          </reference>
        </references>
      </pivotArea>
    </format>
    <format dxfId="63">
      <pivotArea dataOnly="0" labelOnly="1" fieldPosition="0">
        <references count="2">
          <reference field="25" count="1" selected="0">
            <x v="33"/>
          </reference>
          <reference field="26" count="1">
            <x v="12"/>
          </reference>
        </references>
      </pivotArea>
    </format>
    <format dxfId="62">
      <pivotArea dataOnly="0" labelOnly="1" fieldPosition="0">
        <references count="2">
          <reference field="25" count="1" selected="0">
            <x v="34"/>
          </reference>
          <reference field="26" count="1">
            <x v="41"/>
          </reference>
        </references>
      </pivotArea>
    </format>
    <format dxfId="61">
      <pivotArea dataOnly="0" labelOnly="1" fieldPosition="0">
        <references count="2">
          <reference field="25" count="1" selected="0">
            <x v="35"/>
          </reference>
          <reference field="26" count="1">
            <x v="38"/>
          </reference>
        </references>
      </pivotArea>
    </format>
    <format dxfId="60">
      <pivotArea dataOnly="0" labelOnly="1" fieldPosition="0">
        <references count="2">
          <reference field="25" count="1" selected="0">
            <x v="36"/>
          </reference>
          <reference field="26" count="1">
            <x v="13"/>
          </reference>
        </references>
      </pivotArea>
    </format>
    <format dxfId="59">
      <pivotArea dataOnly="0" labelOnly="1" fieldPosition="0">
        <references count="2">
          <reference field="25" count="1" selected="0">
            <x v="37"/>
          </reference>
          <reference field="26" count="1">
            <x v="8"/>
          </reference>
        </references>
      </pivotArea>
    </format>
    <format dxfId="58">
      <pivotArea dataOnly="0" labelOnly="1" fieldPosition="0">
        <references count="2">
          <reference field="25" count="1" selected="0">
            <x v="38"/>
          </reference>
          <reference field="26" count="1">
            <x v="14"/>
          </reference>
        </references>
      </pivotArea>
    </format>
    <format dxfId="57">
      <pivotArea dataOnly="0" labelOnly="1" fieldPosition="0">
        <references count="2">
          <reference field="25" count="1" selected="0">
            <x v="39"/>
          </reference>
          <reference field="26" count="1">
            <x v="23"/>
          </reference>
        </references>
      </pivotArea>
    </format>
    <format dxfId="56">
      <pivotArea dataOnly="0" labelOnly="1" fieldPosition="0">
        <references count="2">
          <reference field="25" count="1" selected="0">
            <x v="40"/>
          </reference>
          <reference field="26" count="1">
            <x v="33"/>
          </reference>
        </references>
      </pivotArea>
    </format>
    <format dxfId="55">
      <pivotArea dataOnly="0" labelOnly="1" fieldPosition="0">
        <references count="2">
          <reference field="25" count="1" selected="0">
            <x v="41"/>
          </reference>
          <reference field="26" count="1">
            <x v="34"/>
          </reference>
        </references>
      </pivotArea>
    </format>
    <format dxfId="54">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53">
      <pivotArea type="all" dataOnly="0" outline="0" fieldPosition="0"/>
    </format>
    <format dxfId="52">
      <pivotArea outline="0" collapsedLevelsAreSubtotals="1" fieldPosition="0"/>
    </format>
    <format dxfId="51">
      <pivotArea field="25" type="button" dataOnly="0" labelOnly="1" outline="0" axis="axisRow" fieldPosition="0"/>
    </format>
    <format dxfId="50">
      <pivotArea dataOnly="0" labelOnly="1" fieldPosition="0">
        <references count="1">
          <reference field="25" count="0"/>
        </references>
      </pivotArea>
    </format>
    <format dxfId="49">
      <pivotArea dataOnly="0" labelOnly="1" grandRow="1" outline="0" fieldPosition="0"/>
    </format>
    <format dxfId="48">
      <pivotArea dataOnly="0" labelOnly="1" fieldPosition="0">
        <references count="2">
          <reference field="25" count="1" selected="0">
            <x v="0"/>
          </reference>
          <reference field="26" count="1">
            <x v="6"/>
          </reference>
        </references>
      </pivotArea>
    </format>
    <format dxfId="47">
      <pivotArea dataOnly="0" labelOnly="1" fieldPosition="0">
        <references count="2">
          <reference field="25" count="1" selected="0">
            <x v="1"/>
          </reference>
          <reference field="26" count="1">
            <x v="1"/>
          </reference>
        </references>
      </pivotArea>
    </format>
    <format dxfId="46">
      <pivotArea dataOnly="0" labelOnly="1" fieldPosition="0">
        <references count="2">
          <reference field="25" count="1" selected="0">
            <x v="2"/>
          </reference>
          <reference field="26" count="1">
            <x v="0"/>
          </reference>
        </references>
      </pivotArea>
    </format>
    <format dxfId="45">
      <pivotArea dataOnly="0" labelOnly="1" fieldPosition="0">
        <references count="2">
          <reference field="25" count="1" selected="0">
            <x v="3"/>
          </reference>
          <reference field="26" count="1">
            <x v="36"/>
          </reference>
        </references>
      </pivotArea>
    </format>
    <format dxfId="44">
      <pivotArea dataOnly="0" labelOnly="1" fieldPosition="0">
        <references count="2">
          <reference field="25" count="1" selected="0">
            <x v="4"/>
          </reference>
          <reference field="26" count="1">
            <x v="28"/>
          </reference>
        </references>
      </pivotArea>
    </format>
    <format dxfId="43">
      <pivotArea dataOnly="0" labelOnly="1" fieldPosition="0">
        <references count="2">
          <reference field="25" count="1" selected="0">
            <x v="5"/>
          </reference>
          <reference field="26" count="1">
            <x v="4"/>
          </reference>
        </references>
      </pivotArea>
    </format>
    <format dxfId="42">
      <pivotArea dataOnly="0" labelOnly="1" fieldPosition="0">
        <references count="2">
          <reference field="25" count="1" selected="0">
            <x v="6"/>
          </reference>
          <reference field="26" count="1">
            <x v="16"/>
          </reference>
        </references>
      </pivotArea>
    </format>
    <format dxfId="41">
      <pivotArea dataOnly="0" labelOnly="1" fieldPosition="0">
        <references count="2">
          <reference field="25" count="1" selected="0">
            <x v="7"/>
          </reference>
          <reference field="26" count="1">
            <x v="3"/>
          </reference>
        </references>
      </pivotArea>
    </format>
    <format dxfId="40">
      <pivotArea dataOnly="0" labelOnly="1" fieldPosition="0">
        <references count="2">
          <reference field="25" count="1" selected="0">
            <x v="8"/>
          </reference>
          <reference field="26" count="1">
            <x v="2"/>
          </reference>
        </references>
      </pivotArea>
    </format>
    <format dxfId="39">
      <pivotArea dataOnly="0" labelOnly="1" fieldPosition="0">
        <references count="2">
          <reference field="25" count="1" selected="0">
            <x v="9"/>
          </reference>
          <reference field="26" count="1">
            <x v="15"/>
          </reference>
        </references>
      </pivotArea>
    </format>
    <format dxfId="38">
      <pivotArea dataOnly="0" labelOnly="1" fieldPosition="0">
        <references count="2">
          <reference field="25" count="1" selected="0">
            <x v="10"/>
          </reference>
          <reference field="26" count="1">
            <x v="17"/>
          </reference>
        </references>
      </pivotArea>
    </format>
    <format dxfId="37">
      <pivotArea dataOnly="0" labelOnly="1" fieldPosition="0">
        <references count="2">
          <reference field="25" count="1" selected="0">
            <x v="11"/>
          </reference>
          <reference field="26" count="1">
            <x v="5"/>
          </reference>
        </references>
      </pivotArea>
    </format>
    <format dxfId="36">
      <pivotArea dataOnly="0" labelOnly="1" fieldPosition="0">
        <references count="2">
          <reference field="25" count="1" selected="0">
            <x v="12"/>
          </reference>
          <reference field="26" count="1">
            <x v="25"/>
          </reference>
        </references>
      </pivotArea>
    </format>
    <format dxfId="35">
      <pivotArea dataOnly="0" labelOnly="1" fieldPosition="0">
        <references count="2">
          <reference field="25" count="1" selected="0">
            <x v="13"/>
          </reference>
          <reference field="26" count="1">
            <x v="26"/>
          </reference>
        </references>
      </pivotArea>
    </format>
    <format dxfId="34">
      <pivotArea dataOnly="0" labelOnly="1" fieldPosition="0">
        <references count="2">
          <reference field="25" count="1" selected="0">
            <x v="14"/>
          </reference>
          <reference field="26" count="1">
            <x v="24"/>
          </reference>
        </references>
      </pivotArea>
    </format>
    <format dxfId="33">
      <pivotArea dataOnly="0" labelOnly="1" fieldPosition="0">
        <references count="2">
          <reference field="25" count="1" selected="0">
            <x v="15"/>
          </reference>
          <reference field="26" count="1">
            <x v="37"/>
          </reference>
        </references>
      </pivotArea>
    </format>
    <format dxfId="32">
      <pivotArea dataOnly="0" labelOnly="1" fieldPosition="0">
        <references count="2">
          <reference field="25" count="1" selected="0">
            <x v="16"/>
          </reference>
          <reference field="26" count="1">
            <x v="40"/>
          </reference>
        </references>
      </pivotArea>
    </format>
    <format dxfId="31">
      <pivotArea dataOnly="0" labelOnly="1" fieldPosition="0">
        <references count="2">
          <reference field="25" count="1" selected="0">
            <x v="17"/>
          </reference>
          <reference field="26" count="1">
            <x v="35"/>
          </reference>
        </references>
      </pivotArea>
    </format>
    <format dxfId="30">
      <pivotArea dataOnly="0" labelOnly="1" fieldPosition="0">
        <references count="2">
          <reference field="25" count="1" selected="0">
            <x v="18"/>
          </reference>
          <reference field="26" count="1">
            <x v="39"/>
          </reference>
        </references>
      </pivotArea>
    </format>
    <format dxfId="29">
      <pivotArea dataOnly="0" labelOnly="1" fieldPosition="0">
        <references count="2">
          <reference field="25" count="1" selected="0">
            <x v="19"/>
          </reference>
          <reference field="26" count="1">
            <x v="18"/>
          </reference>
        </references>
      </pivotArea>
    </format>
    <format dxfId="28">
      <pivotArea dataOnly="0" labelOnly="1" fieldPosition="0">
        <references count="2">
          <reference field="25" count="1" selected="0">
            <x v="20"/>
          </reference>
          <reference field="26" count="1">
            <x v="10"/>
          </reference>
        </references>
      </pivotArea>
    </format>
    <format dxfId="27">
      <pivotArea dataOnly="0" labelOnly="1" fieldPosition="0">
        <references count="2">
          <reference field="25" count="1" selected="0">
            <x v="21"/>
          </reference>
          <reference field="26" count="1">
            <x v="20"/>
          </reference>
        </references>
      </pivotArea>
    </format>
    <format dxfId="26">
      <pivotArea dataOnly="0" labelOnly="1" fieldPosition="0">
        <references count="2">
          <reference field="25" count="1" selected="0">
            <x v="22"/>
          </reference>
          <reference field="26" count="1">
            <x v="22"/>
          </reference>
        </references>
      </pivotArea>
    </format>
    <format dxfId="25">
      <pivotArea dataOnly="0" labelOnly="1" fieldPosition="0">
        <references count="2">
          <reference field="25" count="1" selected="0">
            <x v="23"/>
          </reference>
          <reference field="26" count="1">
            <x v="21"/>
          </reference>
        </references>
      </pivotArea>
    </format>
    <format dxfId="24">
      <pivotArea dataOnly="0" labelOnly="1" fieldPosition="0">
        <references count="2">
          <reference field="25" count="1" selected="0">
            <x v="24"/>
          </reference>
          <reference field="26" count="1">
            <x v="19"/>
          </reference>
        </references>
      </pivotArea>
    </format>
    <format dxfId="23">
      <pivotArea dataOnly="0" labelOnly="1" fieldPosition="0">
        <references count="2">
          <reference field="25" count="1" selected="0">
            <x v="25"/>
          </reference>
          <reference field="26" count="1">
            <x v="11"/>
          </reference>
        </references>
      </pivotArea>
    </format>
    <format dxfId="22">
      <pivotArea dataOnly="0" labelOnly="1" fieldPosition="0">
        <references count="2">
          <reference field="25" count="1" selected="0">
            <x v="26"/>
          </reference>
          <reference field="26" count="1">
            <x v="27"/>
          </reference>
        </references>
      </pivotArea>
    </format>
    <format dxfId="21">
      <pivotArea dataOnly="0" labelOnly="1" fieldPosition="0">
        <references count="2">
          <reference field="25" count="1" selected="0">
            <x v="27"/>
          </reference>
          <reference field="26" count="1">
            <x v="30"/>
          </reference>
        </references>
      </pivotArea>
    </format>
    <format dxfId="20">
      <pivotArea dataOnly="0" labelOnly="1" fieldPosition="0">
        <references count="2">
          <reference field="25" count="1" selected="0">
            <x v="28"/>
          </reference>
          <reference field="26" count="1">
            <x v="9"/>
          </reference>
        </references>
      </pivotArea>
    </format>
    <format dxfId="19">
      <pivotArea dataOnly="0" labelOnly="1" fieldPosition="0">
        <references count="2">
          <reference field="25" count="1" selected="0">
            <x v="29"/>
          </reference>
          <reference field="26" count="1">
            <x v="29"/>
          </reference>
        </references>
      </pivotArea>
    </format>
    <format dxfId="18">
      <pivotArea dataOnly="0" labelOnly="1" fieldPosition="0">
        <references count="2">
          <reference field="25" count="1" selected="0">
            <x v="30"/>
          </reference>
          <reference field="26" count="1">
            <x v="7"/>
          </reference>
        </references>
      </pivotArea>
    </format>
    <format dxfId="17">
      <pivotArea dataOnly="0" labelOnly="1" fieldPosition="0">
        <references count="2">
          <reference field="25" count="1" selected="0">
            <x v="31"/>
          </reference>
          <reference field="26" count="1">
            <x v="31"/>
          </reference>
        </references>
      </pivotArea>
    </format>
    <format dxfId="16">
      <pivotArea dataOnly="0" labelOnly="1" fieldPosition="0">
        <references count="2">
          <reference field="25" count="1" selected="0">
            <x v="32"/>
          </reference>
          <reference field="26" count="1">
            <x v="32"/>
          </reference>
        </references>
      </pivotArea>
    </format>
    <format dxfId="15">
      <pivotArea dataOnly="0" labelOnly="1" fieldPosition="0">
        <references count="2">
          <reference field="25" count="1" selected="0">
            <x v="33"/>
          </reference>
          <reference field="26" count="1">
            <x v="12"/>
          </reference>
        </references>
      </pivotArea>
    </format>
    <format dxfId="14">
      <pivotArea dataOnly="0" labelOnly="1" fieldPosition="0">
        <references count="2">
          <reference field="25" count="1" selected="0">
            <x v="34"/>
          </reference>
          <reference field="26" count="1">
            <x v="41"/>
          </reference>
        </references>
      </pivotArea>
    </format>
    <format dxfId="13">
      <pivotArea dataOnly="0" labelOnly="1" fieldPosition="0">
        <references count="2">
          <reference field="25" count="1" selected="0">
            <x v="35"/>
          </reference>
          <reference field="26" count="1">
            <x v="38"/>
          </reference>
        </references>
      </pivotArea>
    </format>
    <format dxfId="12">
      <pivotArea dataOnly="0" labelOnly="1" fieldPosition="0">
        <references count="2">
          <reference field="25" count="1" selected="0">
            <x v="36"/>
          </reference>
          <reference field="26" count="1">
            <x v="13"/>
          </reference>
        </references>
      </pivotArea>
    </format>
    <format dxfId="11">
      <pivotArea dataOnly="0" labelOnly="1" fieldPosition="0">
        <references count="2">
          <reference field="25" count="1" selected="0">
            <x v="37"/>
          </reference>
          <reference field="26" count="1">
            <x v="8"/>
          </reference>
        </references>
      </pivotArea>
    </format>
    <format dxfId="10">
      <pivotArea dataOnly="0" labelOnly="1" fieldPosition="0">
        <references count="2">
          <reference field="25" count="1" selected="0">
            <x v="38"/>
          </reference>
          <reference field="26" count="1">
            <x v="14"/>
          </reference>
        </references>
      </pivotArea>
    </format>
    <format dxfId="9">
      <pivotArea dataOnly="0" labelOnly="1" fieldPosition="0">
        <references count="2">
          <reference field="25" count="1" selected="0">
            <x v="39"/>
          </reference>
          <reference field="26" count="1">
            <x v="23"/>
          </reference>
        </references>
      </pivotArea>
    </format>
    <format dxfId="8">
      <pivotArea dataOnly="0" labelOnly="1" fieldPosition="0">
        <references count="2">
          <reference field="25" count="1" selected="0">
            <x v="40"/>
          </reference>
          <reference field="26" count="1">
            <x v="33"/>
          </reference>
        </references>
      </pivotArea>
    </format>
    <format dxfId="7">
      <pivotArea dataOnly="0" labelOnly="1" fieldPosition="0">
        <references count="2">
          <reference field="25" count="1" selected="0">
            <x v="41"/>
          </reference>
          <reference field="26" count="1">
            <x v="34"/>
          </reference>
        </references>
      </pivotArea>
    </format>
    <format dxfId="6">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A1:AA128" totalsRowShown="0">
  <autoFilter ref="A1:AA128"/>
  <tableColumns count="27">
    <tableColumn id="1" name="SEDE 1 - MANZANA LIEVANO - ALCALDÍA MAYOR"/>
    <tableColumn id="2" name="SEDE 2- DIRECCIÓN DISTRITAL DE ARCHIVO DE  BOGOTA "/>
    <tableColumn id="3" name="SEDE 3 - IMPRENTA DISTRITAL"/>
    <tableColumn id="4" name="SEDE 4 - SEDE ALTERNA RESTREPO "/>
    <tableColumn id="5" name="SEDE 5 - SUPERCADE CAD CARRERA "/>
    <tableColumn id="6" name="SEDE 6 - SUPERCADE AMERICAS "/>
    <tableColumn id="7" name="SEDE 7 - SUPERCADE BOSA "/>
    <tableColumn id="8" name="SEDE 8 - SUPERCADE CALLE 13 "/>
    <tableColumn id="9" name="SEDE 9 - SUPERCADE 20 DE JULIO "/>
    <tableColumn id="10" name="SEDE 10 - SUPERCADE MANITAS "/>
    <tableColumn id="11" name="SEDE 11 - SUPERCADE SUBA "/>
    <tableColumn id="12" name="SEDE 12 - SUPERCADE SOCIAL"/>
    <tableColumn id="13" name="SEDE 13 - CADE SERVITA "/>
    <tableColumn id="14" name="SEDE 14 - CADE LA VICTORIA "/>
    <tableColumn id="15" name="SEDE 15 - CADE LA GAITANA "/>
    <tableColumn id="16" name="SEDE 16 - SUPERCADE ENGATIVA "/>
    <tableColumn id="17" name="SEDE 17 - CADE LOS LUCEROS "/>
    <tableColumn id="18" name="SEDE 18 - CENTRO DE MEMORIA, PAZ Y RECONCILIACIÓN "/>
    <tableColumn id="19" name="SEDE 19 - CENTRO DE ENCUENTRO BOSA "/>
    <tableColumn id="20" name="SEDE 20 - CENTRO DE ENCUENTRO CHAPINERO "/>
    <tableColumn id="21" name="SEDE 21 - CENTRO DE ENCUENTRO CIUDAD BOLIVAR "/>
    <tableColumn id="22" name="SEDE 22 - CENTRO DE ENCUENTRO KENNEDY PATIO BONITO "/>
    <tableColumn id="23" name="SEDE 23 - CENTRO DE ENCUENTRO RAFAEL URIBE "/>
    <tableColumn id="24" name="SEDE 24 - CENTRO DE ENCUENTRO SUBA "/>
    <tableColumn id="25" name="SEDE 25 - SEDE ALTERNA TEQUENDAMA"/>
    <tableColumn id="26" name="RUBRO"/>
    <tableColumn id="27" name="NOMBRE RUBRO"/>
  </tableColumns>
  <tableStyleInfo name="TableStyleMedium2" showFirstColumn="0" showLastColumn="0" showRowStripes="1" showColumnStripes="0"/>
</table>
</file>

<file path=xl/tables/table2.xml><?xml version="1.0" encoding="utf-8"?>
<table xmlns="http://schemas.openxmlformats.org/spreadsheetml/2006/main" id="2" name="Tabla2" displayName="Tabla2" ref="A1:AA3" totalsRowShown="0">
  <autoFilter ref="A1:AA3"/>
  <tableColumns count="27">
    <tableColumn id="1" name="SEDE 1 - MANZANA LIEVANO - ALCALDÍA MAYOR"/>
    <tableColumn id="2" name="SEDE 2- DIRECCIÓN DISTRITAL DE ARCHIVO DE  BOGOTA "/>
    <tableColumn id="3" name="SEDE 3 - IMPRENTA DISTRITAL"/>
    <tableColumn id="4" name="SEDE 4 - SEDE ALTERNA RESTREPO "/>
    <tableColumn id="5" name="SEDE 5 - SUPERCADE CAD CARRERA "/>
    <tableColumn id="6" name="SEDE 6 - SUPERCADE AMERICAS "/>
    <tableColumn id="7" name="SEDE 7 - SUPERCADE BOSA "/>
    <tableColumn id="8" name="SEDE 8 - SUPERCADE CALLE 13 "/>
    <tableColumn id="9" name="SEDE 9 - SUPERCADE 20 DE JULIO "/>
    <tableColumn id="10" name="SEDE 10 - SUPERCADE MANITAS "/>
    <tableColumn id="11" name="SEDE 11 - SUPERCADE SUBA "/>
    <tableColumn id="12" name="SEDE 12 - SUPERCADE SOCIAL"/>
    <tableColumn id="13" name="SEDE 13 - CADE SERVITA "/>
    <tableColumn id="14" name="SEDE 14 - CADE LA VICTORIA "/>
    <tableColumn id="15" name="SEDE 15 - CADE LA GAITANA "/>
    <tableColumn id="16" name="SEDE 16 - SUPERCADE ENGATIVA "/>
    <tableColumn id="17" name="SEDE 17 - CADE LOS LUCEROS "/>
    <tableColumn id="18" name="SEDE 18 - CENTRO DE MEMORIA, PAZ Y RECONCILIACIÓN "/>
    <tableColumn id="19" name="SEDE 19 - CENTRO DE ENCUENTRO BOSA "/>
    <tableColumn id="20" name="SEDE 20 - CENTRO DE ENCUENTRO CHAPINERO "/>
    <tableColumn id="21" name="SEDE 21 - CENTRO DE ENCUENTRO CIUDAD BOLIVAR "/>
    <tableColumn id="22" name="SEDE 22 - CENTRO DE ENCUENTRO KENNEDY PATIO BONITO "/>
    <tableColumn id="23" name="SEDE 23 - CENTRO DE ENCUENTRO RAFAEL URIBE "/>
    <tableColumn id="24" name="SEDE 24 - CENTRO DE ENCUENTRO SUBA "/>
    <tableColumn id="25" name="SEDE 25 - SEDE ALTERNA TEQUENDAMA"/>
    <tableColumn id="26" name="RUBRO"/>
    <tableColumn id="27" name="NOMBRE RUBR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2" dT="2024-07-24T16:03:03.66" personId="{D1786AB3-8264-4B6B-921F-0837A47806C8}" id="{A8CB4C4A-2E05-4BBA-AEDE-A61D96B53B74}">
    <text>Estos 3 fueron los que no recibieron en el CE Rafael Uribe</text>
  </threadedComment>
  <threadedComment ref="K3" dT="2024-07-24T16:03:13.46" personId="{D1786AB3-8264-4B6B-921F-0837A47806C8}" id="{91B21F94-1597-498E-BB16-37BAE9542F4B}">
    <text>Estos 3 fueron los que no recibieron en el CE Rafael Uribe</text>
  </threadedComment>
  <threadedComment ref="K5" dT="2024-07-24T16:03:32.14" personId="{D1786AB3-8264-4B6B-921F-0837A47806C8}" id="{1FC68A02-81B9-490A-9642-7A2C401B1DA9}">
    <text>Estos 2 fueron los que no recibieron en el CE Rafael Uribe</text>
  </threadedComment>
  <threadedComment ref="K14" dT="2024-07-24T15:40:19.01" personId="{D1786AB3-8264-4B6B-921F-0837A47806C8}" id="{AC410C6E-221E-49FD-B862-5A5B3C29EED9}">
    <text>Estos 5 son los que no recibieron del cade la victoria</text>
  </threadedComment>
  <threadedComment ref="K15" dT="2024-07-24T15:40:43.02" personId="{D1786AB3-8264-4B6B-921F-0837A47806C8}" id="{13373BF2-CEB0-40F4-BDD6-D0946815437E}">
    <text>Estos 5 son los que no recibieron del cade la victoria</text>
  </threadedComment>
  <threadedComment ref="Q23" dT="2024-07-24T16:32:34.75" personId="{D1786AB3-8264-4B6B-921F-0837A47806C8}" id="{BA1B6613-6C7C-43E9-B073-7887AA4320CA}">
    <text>Este 1 adicional fue del cade muzu</text>
  </threadedComment>
  <threadedComment ref="K52" dT="2024-07-24T15:41:23.51" personId="{D1786AB3-8264-4B6B-921F-0837A47806C8}" id="{689EA367-9834-49F6-A915-69C8F6C0D21C}">
    <text>Estos 2 son los que no recibieron del cade la victoria</text>
  </threadedComment>
  <threadedComment ref="K53" dT="2024-07-24T15:41:45.29" personId="{D1786AB3-8264-4B6B-921F-0837A47806C8}" id="{C0A701F3-4F31-4734-A864-803E894BABFE}">
    <text>Estos 5 son los que no recibieron del cade la victoria</text>
  </threadedComment>
  <threadedComment ref="K63" dT="2024-07-24T15:42:05.40" personId="{D1786AB3-8264-4B6B-921F-0837A47806C8}" id="{2B66081D-502E-4A51-9848-63E9067B65D3}">
    <text>Estos 3 son los que no recibieron del cade la victoria</text>
  </threadedComment>
  <threadedComment ref="K64" dT="2024-07-24T15:42:29.23" personId="{D1786AB3-8264-4B6B-921F-0837A47806C8}" id="{B84A521C-3854-47B5-B66F-42E23D767D4F}">
    <text>Este par son los que no recibieron del cade la victoria</text>
  </threadedComment>
  <threadedComment ref="T66" dT="2024-07-24T17:59:27.33" personId="{D1786AB3-8264-4B6B-921F-0837A47806C8}" id="{C4B4136A-0F31-4451-99C7-F1FC5CC0C482}">
    <text>Primero decia 20 y despues le enviaron a yenifer una que dice 40</text>
  </threadedComment>
  <threadedComment ref="Q67" dT="2024-07-24T16:32:52.18" personId="{D1786AB3-8264-4B6B-921F-0837A47806C8}" id="{E6D6228C-45BF-4F19-BE97-8341EABF0CF9}">
    <text>Estas 2 adicional fue del cade muzu</text>
  </threadedComment>
  <threadedComment ref="Q72" dT="2024-07-24T16:33:05.94" personId="{D1786AB3-8264-4B6B-921F-0837A47806C8}" id="{32C3B1E3-8015-49B5-9E97-194C9D38DA94}">
    <text>Estas 4 adicional fue del cade muzu</text>
  </threadedComment>
  <threadedComment ref="Q79" dT="2024-07-24T16:33:33.85" personId="{D1786AB3-8264-4B6B-921F-0837A47806C8}" id="{00BE78E2-866A-4C7A-99AF-75E8FED5A14D}">
    <text>Estos 2 adicional fue del cade muzu</text>
  </threadedComment>
  <threadedComment ref="Q81" dT="2024-07-24T16:33:55.64" personId="{D1786AB3-8264-4B6B-921F-0837A47806C8}" id="{A6420AA5-817B-48D9-A8EC-E464F30BB131}">
    <text>Estas 2 adicional fue del cade muzu</text>
  </threadedComment>
  <threadedComment ref="Q86" dT="2024-07-24T16:34:26.84" personId="{D1786AB3-8264-4B6B-921F-0837A47806C8}" id="{CEFF2313-2F69-413F-BE85-437CE13EED5D}">
    <text>Estas 2 adicionales fueron para el cade tunal</text>
  </threadedComment>
</ThreadedComment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0"/>
  <sheetViews>
    <sheetView topLeftCell="B1" workbookViewId="0">
      <selection activeCell="E26" sqref="E26"/>
    </sheetView>
  </sheetViews>
  <sheetFormatPr baseColWidth="10" defaultColWidth="11" defaultRowHeight="14.25"/>
  <cols>
    <col min="1" max="1" width="4" bestFit="1" customWidth="1"/>
    <col min="2" max="2" width="24.125" customWidth="1"/>
    <col min="3" max="3" width="14.625" customWidth="1"/>
    <col min="4" max="4" width="14.75" customWidth="1"/>
    <col min="5" max="6" width="13.625" customWidth="1"/>
    <col min="7" max="7" width="12.625" customWidth="1"/>
    <col min="8" max="14" width="13.625" customWidth="1"/>
    <col min="15" max="17" width="12.625" customWidth="1"/>
    <col min="18" max="23" width="13.625" customWidth="1"/>
    <col min="24" max="24" width="12.625" customWidth="1"/>
    <col min="25" max="26" width="13.625" customWidth="1"/>
    <col min="27" max="27" width="12.625" bestFit="1" customWidth="1"/>
  </cols>
  <sheetData>
    <row r="1" spans="1:28" ht="60.75" thickBot="1">
      <c r="A1" s="45" t="s">
        <v>682</v>
      </c>
      <c r="B1" s="46" t="s">
        <v>683</v>
      </c>
      <c r="C1" s="47" t="s">
        <v>684</v>
      </c>
      <c r="D1" s="48" t="s">
        <v>653</v>
      </c>
      <c r="E1" s="48" t="s">
        <v>654</v>
      </c>
      <c r="F1" s="48" t="s">
        <v>655</v>
      </c>
      <c r="G1" s="48" t="s">
        <v>656</v>
      </c>
      <c r="H1" s="48" t="s">
        <v>657</v>
      </c>
      <c r="I1" s="48" t="s">
        <v>658</v>
      </c>
      <c r="J1" s="48" t="s">
        <v>659</v>
      </c>
      <c r="K1" s="48" t="s">
        <v>660</v>
      </c>
      <c r="L1" s="48" t="s">
        <v>661</v>
      </c>
      <c r="M1" s="48" t="s">
        <v>662</v>
      </c>
      <c r="N1" s="48" t="s">
        <v>663</v>
      </c>
      <c r="O1" s="48" t="s">
        <v>664</v>
      </c>
      <c r="P1" s="49" t="s">
        <v>665</v>
      </c>
      <c r="Q1" s="48" t="s">
        <v>666</v>
      </c>
      <c r="R1" s="48" t="s">
        <v>667</v>
      </c>
      <c r="S1" s="48" t="s">
        <v>668</v>
      </c>
      <c r="T1" s="48" t="s">
        <v>669</v>
      </c>
      <c r="U1" s="48" t="s">
        <v>670</v>
      </c>
      <c r="V1" s="48" t="s">
        <v>671</v>
      </c>
      <c r="W1" s="48" t="s">
        <v>672</v>
      </c>
      <c r="X1" s="48" t="s">
        <v>673</v>
      </c>
      <c r="Y1" s="48" t="s">
        <v>674</v>
      </c>
      <c r="Z1" s="48" t="s">
        <v>675</v>
      </c>
      <c r="AA1" s="48" t="s">
        <v>676</v>
      </c>
      <c r="AB1" s="50" t="s">
        <v>677</v>
      </c>
    </row>
    <row r="2" spans="1:28">
      <c r="A2" s="51">
        <v>1</v>
      </c>
      <c r="B2" s="52" t="s">
        <v>685</v>
      </c>
      <c r="C2" s="53">
        <f>SUM(D2:AB2)</f>
        <v>130</v>
      </c>
      <c r="D2" s="227">
        <v>30</v>
      </c>
      <c r="E2" s="227">
        <v>11</v>
      </c>
      <c r="F2" s="227">
        <v>2</v>
      </c>
      <c r="G2" s="227">
        <v>2</v>
      </c>
      <c r="H2" s="227">
        <v>10</v>
      </c>
      <c r="I2" s="227">
        <v>8</v>
      </c>
      <c r="J2" s="227">
        <v>6</v>
      </c>
      <c r="K2" s="227">
        <v>4</v>
      </c>
      <c r="L2" s="227">
        <v>6</v>
      </c>
      <c r="M2" s="227">
        <v>8</v>
      </c>
      <c r="N2" s="227">
        <v>8</v>
      </c>
      <c r="O2" s="227">
        <v>2</v>
      </c>
      <c r="P2" s="229">
        <v>2</v>
      </c>
      <c r="Q2" s="227">
        <v>2</v>
      </c>
      <c r="R2" s="227">
        <v>2</v>
      </c>
      <c r="S2" s="227">
        <v>4</v>
      </c>
      <c r="T2" s="227">
        <v>1</v>
      </c>
      <c r="U2" s="227">
        <v>4</v>
      </c>
      <c r="V2" s="227">
        <v>3</v>
      </c>
      <c r="W2" s="227">
        <v>3</v>
      </c>
      <c r="X2" s="227">
        <v>2</v>
      </c>
      <c r="Y2" s="227">
        <v>3</v>
      </c>
      <c r="Z2" s="227">
        <v>3</v>
      </c>
      <c r="AA2" s="227">
        <v>2</v>
      </c>
      <c r="AB2" s="230">
        <v>2</v>
      </c>
    </row>
    <row r="3" spans="1:28">
      <c r="A3" s="54">
        <v>2</v>
      </c>
      <c r="B3" s="55" t="s">
        <v>686</v>
      </c>
      <c r="C3" s="56">
        <f>SUM(D3:AB3)</f>
        <v>41</v>
      </c>
      <c r="D3" s="225">
        <v>12</v>
      </c>
      <c r="E3" s="225">
        <v>3</v>
      </c>
      <c r="F3" s="225">
        <v>2</v>
      </c>
      <c r="G3" s="56"/>
      <c r="H3" s="225">
        <v>2</v>
      </c>
      <c r="I3" s="225">
        <v>2</v>
      </c>
      <c r="J3" s="225">
        <v>2</v>
      </c>
      <c r="K3" s="225">
        <v>1</v>
      </c>
      <c r="L3" s="225">
        <v>2</v>
      </c>
      <c r="M3" s="225">
        <v>2</v>
      </c>
      <c r="N3" s="225">
        <v>2</v>
      </c>
      <c r="O3" s="56"/>
      <c r="P3" s="57"/>
      <c r="Q3" s="225">
        <v>1</v>
      </c>
      <c r="R3" s="225">
        <v>1</v>
      </c>
      <c r="S3" s="225">
        <v>2</v>
      </c>
      <c r="T3" s="56"/>
      <c r="U3" s="225">
        <v>2</v>
      </c>
      <c r="V3" s="225">
        <v>2</v>
      </c>
      <c r="W3" s="225">
        <v>1</v>
      </c>
      <c r="X3" s="225">
        <v>1</v>
      </c>
      <c r="Y3" s="56"/>
      <c r="Z3" s="225">
        <v>1</v>
      </c>
      <c r="AA3" s="56"/>
      <c r="AB3" s="58"/>
    </row>
    <row r="4" spans="1:28">
      <c r="A4" s="54">
        <v>3</v>
      </c>
      <c r="B4" s="55" t="s">
        <v>687</v>
      </c>
      <c r="C4" s="56">
        <f>SUM(D4:AB4)</f>
        <v>4</v>
      </c>
      <c r="D4" s="225">
        <v>3</v>
      </c>
      <c r="E4" s="225">
        <v>1</v>
      </c>
      <c r="F4" s="56"/>
      <c r="G4" s="56"/>
      <c r="H4" s="56"/>
      <c r="I4" s="56"/>
      <c r="J4" s="56"/>
      <c r="K4" s="56"/>
      <c r="L4" s="56"/>
      <c r="M4" s="56"/>
      <c r="N4" s="56"/>
      <c r="O4" s="56"/>
      <c r="P4" s="57"/>
      <c r="Q4" s="56"/>
      <c r="R4" s="56"/>
      <c r="S4" s="56"/>
      <c r="T4" s="56"/>
      <c r="U4" s="56"/>
      <c r="V4" s="56"/>
      <c r="W4" s="56"/>
      <c r="X4" s="56"/>
      <c r="Y4" s="56"/>
      <c r="Z4" s="56"/>
      <c r="AA4" s="56"/>
      <c r="AB4" s="58"/>
    </row>
    <row r="5" spans="1:28">
      <c r="A5" s="54">
        <v>4</v>
      </c>
      <c r="B5" s="55" t="s">
        <v>688</v>
      </c>
      <c r="C5" s="56">
        <f>SUM(D5:AB5)</f>
        <v>5</v>
      </c>
      <c r="D5" s="225">
        <v>1</v>
      </c>
      <c r="E5" s="225">
        <v>1</v>
      </c>
      <c r="F5" s="225">
        <v>1</v>
      </c>
      <c r="G5" s="56"/>
      <c r="H5" s="56"/>
      <c r="I5" s="56"/>
      <c r="J5" s="56"/>
      <c r="K5" s="56"/>
      <c r="L5" s="56"/>
      <c r="M5" s="56"/>
      <c r="N5" s="56"/>
      <c r="O5" s="56"/>
      <c r="P5" s="57"/>
      <c r="Q5" s="56"/>
      <c r="R5" s="56"/>
      <c r="S5" s="56"/>
      <c r="T5" s="56"/>
      <c r="U5" s="225">
        <v>1</v>
      </c>
      <c r="V5" s="225">
        <v>1</v>
      </c>
      <c r="W5" s="56"/>
      <c r="X5" s="56"/>
      <c r="Y5" s="56"/>
      <c r="Z5" s="56"/>
      <c r="AA5" s="56"/>
      <c r="AB5" s="58"/>
    </row>
    <row r="6" spans="1:28" ht="15" thickBot="1">
      <c r="A6" s="59">
        <v>5</v>
      </c>
      <c r="B6" s="60" t="s">
        <v>689</v>
      </c>
      <c r="C6" s="61">
        <f>SUM(D6:AB6)</f>
        <v>5</v>
      </c>
      <c r="D6" s="226">
        <v>2</v>
      </c>
      <c r="E6" s="61"/>
      <c r="F6" s="61"/>
      <c r="G6" s="61"/>
      <c r="H6" s="61"/>
      <c r="I6" s="61"/>
      <c r="J6" s="61"/>
      <c r="K6" s="61"/>
      <c r="L6" s="61"/>
      <c r="M6" s="226">
        <v>1</v>
      </c>
      <c r="N6" s="226">
        <v>1</v>
      </c>
      <c r="O6" s="61"/>
      <c r="P6" s="62"/>
      <c r="Q6" s="61"/>
      <c r="R6" s="61"/>
      <c r="S6" s="61"/>
      <c r="T6" s="61"/>
      <c r="U6" s="226">
        <v>1</v>
      </c>
      <c r="V6" s="61"/>
      <c r="W6" s="61"/>
      <c r="X6" s="61"/>
      <c r="Y6" s="61"/>
      <c r="Z6" s="61"/>
      <c r="AA6" s="61"/>
      <c r="AB6" s="63"/>
    </row>
    <row r="7" spans="1:28" ht="15" thickBot="1">
      <c r="A7" s="272" t="s">
        <v>690</v>
      </c>
      <c r="B7" s="273"/>
      <c r="C7" s="64">
        <f t="shared" ref="C7:AB7" si="0">SUM(C2:C6)</f>
        <v>185</v>
      </c>
      <c r="D7" s="64">
        <f t="shared" si="0"/>
        <v>48</v>
      </c>
      <c r="E7" s="64">
        <f t="shared" si="0"/>
        <v>16</v>
      </c>
      <c r="F7" s="64">
        <f t="shared" si="0"/>
        <v>5</v>
      </c>
      <c r="G7" s="64">
        <f t="shared" si="0"/>
        <v>2</v>
      </c>
      <c r="H7" s="64">
        <f t="shared" si="0"/>
        <v>12</v>
      </c>
      <c r="I7" s="64">
        <f t="shared" si="0"/>
        <v>10</v>
      </c>
      <c r="J7" s="64">
        <f t="shared" si="0"/>
        <v>8</v>
      </c>
      <c r="K7" s="64">
        <f t="shared" si="0"/>
        <v>5</v>
      </c>
      <c r="L7" s="64">
        <f t="shared" si="0"/>
        <v>8</v>
      </c>
      <c r="M7" s="64">
        <f t="shared" si="0"/>
        <v>11</v>
      </c>
      <c r="N7" s="64">
        <f t="shared" si="0"/>
        <v>11</v>
      </c>
      <c r="O7" s="64">
        <f t="shared" si="0"/>
        <v>2</v>
      </c>
      <c r="P7" s="64">
        <f t="shared" si="0"/>
        <v>2</v>
      </c>
      <c r="Q7" s="64">
        <f t="shared" si="0"/>
        <v>3</v>
      </c>
      <c r="R7" s="64">
        <f t="shared" si="0"/>
        <v>3</v>
      </c>
      <c r="S7" s="64">
        <f t="shared" si="0"/>
        <v>6</v>
      </c>
      <c r="T7" s="64">
        <f t="shared" si="0"/>
        <v>1</v>
      </c>
      <c r="U7" s="64">
        <f t="shared" si="0"/>
        <v>8</v>
      </c>
      <c r="V7" s="64">
        <f t="shared" si="0"/>
        <v>6</v>
      </c>
      <c r="W7" s="64">
        <f t="shared" si="0"/>
        <v>4</v>
      </c>
      <c r="X7" s="64">
        <f t="shared" si="0"/>
        <v>3</v>
      </c>
      <c r="Y7" s="64">
        <f t="shared" si="0"/>
        <v>3</v>
      </c>
      <c r="Z7" s="64">
        <f t="shared" si="0"/>
        <v>4</v>
      </c>
      <c r="AA7" s="64">
        <f t="shared" si="0"/>
        <v>2</v>
      </c>
      <c r="AB7" s="65">
        <f t="shared" si="0"/>
        <v>2</v>
      </c>
    </row>
    <row r="8" spans="1:28">
      <c r="R8" s="73"/>
    </row>
    <row r="9" spans="1:28" s="72" customFormat="1">
      <c r="R9" s="73"/>
    </row>
    <row r="10" spans="1:28" s="72" customFormat="1">
      <c r="B10" s="72" t="s">
        <v>692</v>
      </c>
      <c r="C10" s="72">
        <v>2862350.9288400002</v>
      </c>
      <c r="D10" s="72">
        <f>+$C$10*D7</f>
        <v>137392844.58432001</v>
      </c>
      <c r="E10" s="72">
        <f t="shared" ref="E10:AA10" si="1">+$C$10*E7</f>
        <v>45797614.861440003</v>
      </c>
      <c r="F10" s="72">
        <f t="shared" si="1"/>
        <v>14311754.644200001</v>
      </c>
      <c r="G10" s="72">
        <f t="shared" si="1"/>
        <v>5724701.8576800004</v>
      </c>
      <c r="H10" s="72">
        <f t="shared" si="1"/>
        <v>34348211.146080002</v>
      </c>
      <c r="I10" s="72">
        <f t="shared" si="1"/>
        <v>28623509.288400002</v>
      </c>
      <c r="J10" s="72">
        <f t="shared" si="1"/>
        <v>22898807.430720001</v>
      </c>
      <c r="K10" s="72">
        <f t="shared" si="1"/>
        <v>14311754.644200001</v>
      </c>
      <c r="L10" s="72">
        <f t="shared" si="1"/>
        <v>22898807.430720001</v>
      </c>
      <c r="M10" s="72">
        <f t="shared" si="1"/>
        <v>31485860.217240002</v>
      </c>
      <c r="N10" s="72">
        <f t="shared" si="1"/>
        <v>31485860.217240002</v>
      </c>
      <c r="O10" s="72">
        <f t="shared" si="1"/>
        <v>5724701.8576800004</v>
      </c>
      <c r="P10" s="72">
        <f t="shared" si="1"/>
        <v>5724701.8576800004</v>
      </c>
      <c r="Q10" s="72">
        <f t="shared" si="1"/>
        <v>8587052.7865200005</v>
      </c>
      <c r="R10" s="72">
        <f t="shared" si="1"/>
        <v>8587052.7865200005</v>
      </c>
      <c r="S10" s="72">
        <f t="shared" si="1"/>
        <v>17174105.573040001</v>
      </c>
      <c r="T10" s="72">
        <f t="shared" si="1"/>
        <v>2862350.9288400002</v>
      </c>
      <c r="U10" s="72">
        <f t="shared" si="1"/>
        <v>22898807.430720001</v>
      </c>
      <c r="V10" s="72">
        <f t="shared" si="1"/>
        <v>17174105.573040001</v>
      </c>
      <c r="W10" s="72">
        <f t="shared" si="1"/>
        <v>11449403.715360001</v>
      </c>
      <c r="X10" s="72">
        <f t="shared" si="1"/>
        <v>8587052.7865200005</v>
      </c>
      <c r="Y10" s="72">
        <f t="shared" si="1"/>
        <v>8587052.7865200005</v>
      </c>
      <c r="Z10" s="72">
        <f t="shared" si="1"/>
        <v>11449403.715360001</v>
      </c>
      <c r="AA10" s="72">
        <f t="shared" si="1"/>
        <v>5724701.8576800004</v>
      </c>
    </row>
    <row r="11" spans="1:28" s="72" customFormat="1">
      <c r="C11" s="72">
        <f>+C10*C7</f>
        <v>529534921.83540004</v>
      </c>
      <c r="R11" s="73"/>
    </row>
    <row r="12" spans="1:28" s="72" customFormat="1">
      <c r="R12" s="73"/>
    </row>
    <row r="13" spans="1:28" ht="15">
      <c r="C13" s="89" t="s">
        <v>731</v>
      </c>
      <c r="D13" s="89" t="s">
        <v>730</v>
      </c>
      <c r="E13" s="117" t="s">
        <v>732</v>
      </c>
      <c r="R13" s="73"/>
    </row>
    <row r="14" spans="1:28">
      <c r="B14" t="s">
        <v>729</v>
      </c>
      <c r="C14" s="72">
        <f>+((C10/30)*13)*C7</f>
        <v>229465132.79534003</v>
      </c>
      <c r="D14" s="88">
        <f>+'para facturar'!H2</f>
        <v>516845104</v>
      </c>
      <c r="E14" s="88">
        <f>+(C14-D14)/C10</f>
        <v>-100.3999783217091</v>
      </c>
      <c r="R14" s="73"/>
    </row>
    <row r="15" spans="1:28">
      <c r="B15" t="s">
        <v>913</v>
      </c>
      <c r="C15" s="72"/>
      <c r="R15" s="73"/>
    </row>
    <row r="16" spans="1:28">
      <c r="B16" t="s">
        <v>914</v>
      </c>
      <c r="R16" s="73"/>
    </row>
    <row r="17" spans="18:18">
      <c r="R17" s="73"/>
    </row>
    <row r="18" spans="18:18">
      <c r="R18" s="73"/>
    </row>
    <row r="19" spans="18:18">
      <c r="R19" s="73"/>
    </row>
    <row r="20" spans="18:18">
      <c r="R20" s="73"/>
    </row>
    <row r="21" spans="18:18">
      <c r="R21" s="73"/>
    </row>
    <row r="22" spans="18:18">
      <c r="R22" s="73"/>
    </row>
    <row r="23" spans="18:18">
      <c r="R23" s="73"/>
    </row>
    <row r="24" spans="18:18">
      <c r="R24" s="73"/>
    </row>
    <row r="25" spans="18:18">
      <c r="R25" s="73"/>
    </row>
    <row r="26" spans="18:18">
      <c r="R26" s="73"/>
    </row>
    <row r="27" spans="18:18">
      <c r="R27" s="73"/>
    </row>
    <row r="28" spans="18:18">
      <c r="R28" s="73"/>
    </row>
    <row r="29" spans="18:18">
      <c r="R29" s="73"/>
    </row>
    <row r="30" spans="18:18">
      <c r="R30" s="73"/>
    </row>
    <row r="31" spans="18:18">
      <c r="R31" s="73"/>
    </row>
    <row r="32" spans="18:18">
      <c r="R32" s="73"/>
    </row>
    <row r="33" spans="18:18">
      <c r="R33" s="73"/>
    </row>
    <row r="34" spans="18:18">
      <c r="R34" s="73"/>
    </row>
    <row r="35" spans="18:18">
      <c r="R35" s="73"/>
    </row>
    <row r="36" spans="18:18">
      <c r="R36" s="73"/>
    </row>
    <row r="37" spans="18:18">
      <c r="R37" s="73"/>
    </row>
    <row r="38" spans="18:18">
      <c r="R38" s="73"/>
    </row>
    <row r="39" spans="18:18">
      <c r="R39" s="73"/>
    </row>
    <row r="40" spans="18:18">
      <c r="R40" s="73"/>
    </row>
    <row r="41" spans="18:18">
      <c r="R41" s="73"/>
    </row>
    <row r="42" spans="18:18">
      <c r="R42" s="73"/>
    </row>
    <row r="43" spans="18:18">
      <c r="R43" s="73"/>
    </row>
    <row r="44" spans="18:18">
      <c r="R44" s="73"/>
    </row>
    <row r="45" spans="18:18">
      <c r="R45" s="73"/>
    </row>
    <row r="46" spans="18:18">
      <c r="R46" s="73"/>
    </row>
    <row r="47" spans="18:18">
      <c r="R47" s="73"/>
    </row>
    <row r="48" spans="18:18">
      <c r="R48" s="73"/>
    </row>
    <row r="49" spans="18:18">
      <c r="R49" s="73"/>
    </row>
    <row r="50" spans="18:18">
      <c r="R50" s="73"/>
    </row>
    <row r="51" spans="18:18">
      <c r="R51" s="73"/>
    </row>
    <row r="52" spans="18:18">
      <c r="R52" s="73"/>
    </row>
    <row r="53" spans="18:18">
      <c r="R53" s="73"/>
    </row>
    <row r="54" spans="18:18">
      <c r="R54" s="73"/>
    </row>
    <row r="55" spans="18:18">
      <c r="R55" s="73"/>
    </row>
    <row r="56" spans="18:18">
      <c r="R56" s="73"/>
    </row>
    <row r="57" spans="18:18">
      <c r="R57" s="73"/>
    </row>
    <row r="58" spans="18:18">
      <c r="R58" s="73"/>
    </row>
    <row r="59" spans="18:18">
      <c r="R59" s="73"/>
    </row>
    <row r="60" spans="18:18">
      <c r="R60" s="73"/>
    </row>
    <row r="61" spans="18:18">
      <c r="R61" s="73"/>
    </row>
    <row r="62" spans="18:18">
      <c r="R62" s="73"/>
    </row>
    <row r="63" spans="18:18">
      <c r="R63" s="73"/>
    </row>
    <row r="64" spans="18:18">
      <c r="R64" s="73"/>
    </row>
    <row r="65" spans="18:18">
      <c r="R65" s="73"/>
    </row>
    <row r="66" spans="18:18">
      <c r="R66" s="73"/>
    </row>
    <row r="67" spans="18:18">
      <c r="R67" s="73"/>
    </row>
    <row r="68" spans="18:18">
      <c r="R68" s="73"/>
    </row>
    <row r="69" spans="18:18">
      <c r="R69" s="73"/>
    </row>
    <row r="70" spans="18:18">
      <c r="R70" s="73"/>
    </row>
    <row r="71" spans="18:18">
      <c r="R71" s="73"/>
    </row>
    <row r="72" spans="18:18">
      <c r="R72" s="73"/>
    </row>
    <row r="73" spans="18:18">
      <c r="R73" s="73"/>
    </row>
    <row r="74" spans="18:18">
      <c r="R74" s="73"/>
    </row>
    <row r="75" spans="18:18">
      <c r="R75" s="73"/>
    </row>
    <row r="76" spans="18:18">
      <c r="R76" s="73"/>
    </row>
    <row r="77" spans="18:18">
      <c r="R77" s="73"/>
    </row>
    <row r="78" spans="18:18">
      <c r="R78" s="73"/>
    </row>
    <row r="79" spans="18:18">
      <c r="R79" s="73"/>
    </row>
    <row r="80" spans="18:18">
      <c r="R80" s="73"/>
    </row>
    <row r="81" spans="18:18">
      <c r="R81" s="73"/>
    </row>
    <row r="82" spans="18:18">
      <c r="R82" s="73"/>
    </row>
    <row r="83" spans="18:18">
      <c r="R83" s="73"/>
    </row>
    <row r="84" spans="18:18">
      <c r="R84" s="73"/>
    </row>
    <row r="85" spans="18:18">
      <c r="R85" s="73"/>
    </row>
    <row r="86" spans="18:18">
      <c r="R86" s="73"/>
    </row>
    <row r="87" spans="18:18">
      <c r="R87" s="73"/>
    </row>
    <row r="88" spans="18:18">
      <c r="R88" s="73"/>
    </row>
    <row r="89" spans="18:18">
      <c r="R89" s="73"/>
    </row>
    <row r="90" spans="18:18">
      <c r="R90" s="73"/>
    </row>
    <row r="91" spans="18:18">
      <c r="R91" s="73"/>
    </row>
    <row r="92" spans="18:18">
      <c r="R92" s="73"/>
    </row>
    <row r="93" spans="18:18">
      <c r="R93" s="73"/>
    </row>
    <row r="94" spans="18:18">
      <c r="R94" s="73"/>
    </row>
    <row r="95" spans="18:18">
      <c r="R95" s="73"/>
    </row>
    <row r="96" spans="18:18">
      <c r="R96" s="73"/>
    </row>
    <row r="97" spans="18:18">
      <c r="R97" s="73"/>
    </row>
    <row r="98" spans="18:18">
      <c r="R98" s="73"/>
    </row>
    <row r="99" spans="18:18">
      <c r="R99" s="73"/>
    </row>
    <row r="100" spans="18:18">
      <c r="R100" s="73"/>
    </row>
    <row r="101" spans="18:18">
      <c r="R101" s="73"/>
    </row>
    <row r="102" spans="18:18">
      <c r="R102" s="73"/>
    </row>
    <row r="103" spans="18:18">
      <c r="R103" s="73"/>
    </row>
    <row r="104" spans="18:18">
      <c r="R104" s="73"/>
    </row>
    <row r="105" spans="18:18">
      <c r="R105" s="73"/>
    </row>
    <row r="106" spans="18:18">
      <c r="R106" s="73"/>
    </row>
    <row r="107" spans="18:18">
      <c r="R107" s="73"/>
    </row>
    <row r="108" spans="18:18">
      <c r="R108" s="73"/>
    </row>
    <row r="109" spans="18:18">
      <c r="R109" s="73"/>
    </row>
    <row r="110" spans="18:18">
      <c r="R110" s="73"/>
    </row>
    <row r="111" spans="18:18">
      <c r="R111" s="73"/>
    </row>
    <row r="112" spans="18:18">
      <c r="R112" s="73"/>
    </row>
    <row r="113" spans="18:18">
      <c r="R113" s="73"/>
    </row>
    <row r="114" spans="18:18">
      <c r="R114" s="73"/>
    </row>
    <row r="115" spans="18:18">
      <c r="R115" s="73"/>
    </row>
    <row r="116" spans="18:18">
      <c r="R116" s="73"/>
    </row>
    <row r="117" spans="18:18">
      <c r="R117" s="73"/>
    </row>
    <row r="118" spans="18:18">
      <c r="R118" s="73"/>
    </row>
    <row r="119" spans="18:18">
      <c r="R119" s="73"/>
    </row>
    <row r="120" spans="18:18">
      <c r="R120" s="73"/>
    </row>
    <row r="121" spans="18:18">
      <c r="R121" s="73"/>
    </row>
    <row r="122" spans="18:18">
      <c r="R122" s="73"/>
    </row>
    <row r="123" spans="18:18">
      <c r="R123" s="73"/>
    </row>
    <row r="124" spans="18:18">
      <c r="R124" s="73"/>
    </row>
    <row r="125" spans="18:18">
      <c r="R125" s="73"/>
    </row>
    <row r="126" spans="18:18">
      <c r="R126" s="73"/>
    </row>
    <row r="127" spans="18:18">
      <c r="R127" s="73"/>
    </row>
    <row r="128" spans="18:18">
      <c r="R128" s="73"/>
    </row>
    <row r="129" spans="18:18">
      <c r="R129" s="73"/>
    </row>
    <row r="130" spans="18:18">
      <c r="R130" s="73"/>
    </row>
    <row r="131" spans="18:18">
      <c r="R131" s="73"/>
    </row>
    <row r="132" spans="18:18">
      <c r="R132" s="73"/>
    </row>
    <row r="133" spans="18:18">
      <c r="R133" s="73"/>
    </row>
    <row r="134" spans="18:18">
      <c r="R134" s="73"/>
    </row>
    <row r="135" spans="18:18">
      <c r="R135" s="73"/>
    </row>
    <row r="136" spans="18:18">
      <c r="R136" s="73"/>
    </row>
    <row r="137" spans="18:18">
      <c r="R137" s="73"/>
    </row>
    <row r="138" spans="18:18">
      <c r="R138" s="73"/>
    </row>
    <row r="139" spans="18:18">
      <c r="R139" s="73"/>
    </row>
    <row r="140" spans="18:18">
      <c r="R140" s="73"/>
    </row>
    <row r="141" spans="18:18">
      <c r="R141" s="73"/>
    </row>
    <row r="142" spans="18:18">
      <c r="R142" s="73"/>
    </row>
    <row r="143" spans="18:18">
      <c r="R143" s="73"/>
    </row>
    <row r="144" spans="18:18">
      <c r="R144" s="73"/>
    </row>
    <row r="145" spans="18:18">
      <c r="R145" s="73"/>
    </row>
    <row r="146" spans="18:18">
      <c r="R146" s="73"/>
    </row>
    <row r="147" spans="18:18">
      <c r="R147" s="73"/>
    </row>
    <row r="148" spans="18:18">
      <c r="R148" s="73"/>
    </row>
    <row r="149" spans="18:18">
      <c r="R149" s="73"/>
    </row>
    <row r="150" spans="18:18">
      <c r="R150" s="73"/>
    </row>
    <row r="151" spans="18:18">
      <c r="R151" s="73"/>
    </row>
    <row r="152" spans="18:18">
      <c r="R152" s="73"/>
    </row>
    <row r="153" spans="18:18">
      <c r="R153" s="73"/>
    </row>
    <row r="154" spans="18:18">
      <c r="R154" s="73"/>
    </row>
    <row r="155" spans="18:18">
      <c r="R155" s="73"/>
    </row>
    <row r="156" spans="18:18">
      <c r="R156" s="73"/>
    </row>
    <row r="157" spans="18:18">
      <c r="R157" s="73"/>
    </row>
    <row r="158" spans="18:18">
      <c r="R158" s="73"/>
    </row>
    <row r="159" spans="18:18">
      <c r="R159" s="73"/>
    </row>
    <row r="160" spans="18:18">
      <c r="R160" s="73"/>
    </row>
    <row r="161" spans="18:18">
      <c r="R161" s="73"/>
    </row>
    <row r="162" spans="18:18">
      <c r="R162" s="73"/>
    </row>
    <row r="163" spans="18:18">
      <c r="R163" s="73"/>
    </row>
    <row r="164" spans="18:18">
      <c r="R164" s="73"/>
    </row>
    <row r="165" spans="18:18">
      <c r="R165" s="73"/>
    </row>
    <row r="166" spans="18:18">
      <c r="R166" s="73"/>
    </row>
    <row r="167" spans="18:18">
      <c r="R167" s="73"/>
    </row>
    <row r="168" spans="18:18">
      <c r="R168" s="73"/>
    </row>
    <row r="169" spans="18:18">
      <c r="R169" s="73"/>
    </row>
    <row r="170" spans="18:18">
      <c r="R170" s="73"/>
    </row>
    <row r="171" spans="18:18">
      <c r="R171" s="73"/>
    </row>
    <row r="172" spans="18:18">
      <c r="R172" s="73"/>
    </row>
    <row r="173" spans="18:18">
      <c r="R173" s="73"/>
    </row>
    <row r="174" spans="18:18">
      <c r="R174" s="73"/>
    </row>
    <row r="175" spans="18:18">
      <c r="R175" s="73"/>
    </row>
    <row r="176" spans="18:18">
      <c r="R176" s="73"/>
    </row>
    <row r="177" spans="1:18">
      <c r="R177" s="73"/>
    </row>
    <row r="178" spans="1:18">
      <c r="R178" s="73"/>
    </row>
    <row r="179" spans="1:18">
      <c r="R179" s="73"/>
    </row>
    <row r="180" spans="1:18">
      <c r="R180" s="73"/>
    </row>
    <row r="181" spans="1:18">
      <c r="R181" s="73"/>
    </row>
    <row r="182" spans="1:18">
      <c r="R182" s="73"/>
    </row>
    <row r="183" spans="1:18">
      <c r="R183" s="73"/>
    </row>
    <row r="184" spans="1:18">
      <c r="R184" s="73"/>
    </row>
    <row r="185" spans="1:18">
      <c r="R185" s="73"/>
    </row>
    <row r="186" spans="1:18">
      <c r="R186" s="73"/>
    </row>
    <row r="187" spans="1:18">
      <c r="R187" s="73"/>
    </row>
    <row r="188" spans="1:18">
      <c r="R188" s="73"/>
    </row>
    <row r="189" spans="1:18">
      <c r="R189" s="73"/>
    </row>
    <row r="190" spans="1:18" s="75" customFormat="1" ht="28.5" customHeight="1">
      <c r="A190" s="274" t="s">
        <v>694</v>
      </c>
      <c r="B190" s="274"/>
      <c r="C190" s="274"/>
      <c r="D190" s="274"/>
      <c r="E190" s="274"/>
      <c r="F190" s="274"/>
      <c r="G190" s="274"/>
      <c r="H190" s="274"/>
      <c r="I190" s="274"/>
      <c r="J190" s="274"/>
      <c r="K190" s="274"/>
      <c r="L190" s="274"/>
      <c r="M190" s="274"/>
      <c r="N190" s="274"/>
      <c r="O190" s="274"/>
      <c r="P190" s="74"/>
      <c r="R190" s="74"/>
    </row>
  </sheetData>
  <mergeCells count="2">
    <mergeCell ref="A7:B7"/>
    <mergeCell ref="A190:O19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8"/>
  <sheetViews>
    <sheetView workbookViewId="0">
      <selection activeCell="D137" sqref="D137"/>
    </sheetView>
  </sheetViews>
  <sheetFormatPr baseColWidth="10" defaultRowHeight="14.25"/>
  <cols>
    <col min="1" max="1" width="46.25" customWidth="1"/>
    <col min="2" max="2" width="51.375" customWidth="1"/>
    <col min="3" max="3" width="29.875" customWidth="1"/>
    <col min="4" max="4" width="35.375" customWidth="1"/>
    <col min="5" max="5" width="36.25" customWidth="1"/>
    <col min="6" max="6" width="32.375" customWidth="1"/>
    <col min="7" max="7" width="28.125" customWidth="1"/>
    <col min="8" max="8" width="31.375" customWidth="1"/>
    <col min="9" max="9" width="33.75" customWidth="1"/>
    <col min="10" max="10" width="32.125" customWidth="1"/>
    <col min="11" max="11" width="29" customWidth="1"/>
    <col min="12" max="12" width="30.125" customWidth="1"/>
    <col min="13" max="13" width="25.625" customWidth="1"/>
    <col min="14" max="14" width="29.25" customWidth="1"/>
    <col min="15" max="15" width="28.875" customWidth="1"/>
    <col min="16" max="16" width="33.25" customWidth="1"/>
    <col min="17" max="17" width="30.75" customWidth="1"/>
    <col min="18" max="18" width="51.375" customWidth="1"/>
    <col min="19" max="19" width="40.25" customWidth="1"/>
    <col min="20" max="20" width="45.875" customWidth="1"/>
    <col min="21" max="21" width="50.875" customWidth="1"/>
    <col min="22" max="22" width="51.375" customWidth="1"/>
    <col min="23" max="23" width="48.375" customWidth="1"/>
    <col min="24" max="24" width="40.125" customWidth="1"/>
    <col min="25" max="25" width="39" customWidth="1"/>
    <col min="27" max="27" width="17.75" customWidth="1"/>
  </cols>
  <sheetData>
    <row r="1" spans="1:27">
      <c r="A1" t="s">
        <v>653</v>
      </c>
      <c r="B1" t="s">
        <v>654</v>
      </c>
      <c r="C1" t="s">
        <v>655</v>
      </c>
      <c r="D1" t="s">
        <v>656</v>
      </c>
      <c r="E1" t="s">
        <v>657</v>
      </c>
      <c r="F1" t="s">
        <v>658</v>
      </c>
      <c r="G1" t="s">
        <v>659</v>
      </c>
      <c r="H1" t="s">
        <v>660</v>
      </c>
      <c r="I1" t="s">
        <v>661</v>
      </c>
      <c r="J1" t="s">
        <v>662</v>
      </c>
      <c r="K1" t="s">
        <v>663</v>
      </c>
      <c r="L1" t="s">
        <v>664</v>
      </c>
      <c r="M1" t="s">
        <v>665</v>
      </c>
      <c r="N1" t="s">
        <v>666</v>
      </c>
      <c r="O1" t="s">
        <v>667</v>
      </c>
      <c r="P1" t="s">
        <v>668</v>
      </c>
      <c r="Q1" t="s">
        <v>669</v>
      </c>
      <c r="R1" t="s">
        <v>670</v>
      </c>
      <c r="S1" t="s">
        <v>671</v>
      </c>
      <c r="T1" t="s">
        <v>672</v>
      </c>
      <c r="U1" t="s">
        <v>673</v>
      </c>
      <c r="V1" t="s">
        <v>674</v>
      </c>
      <c r="W1" t="s">
        <v>675</v>
      </c>
      <c r="X1" t="s">
        <v>676</v>
      </c>
      <c r="Y1" t="s">
        <v>677</v>
      </c>
      <c r="Z1" t="s">
        <v>441</v>
      </c>
      <c r="AA1" t="s">
        <v>442</v>
      </c>
    </row>
    <row r="2" spans="1:27">
      <c r="A2">
        <v>0</v>
      </c>
      <c r="B2">
        <v>0</v>
      </c>
      <c r="C2">
        <v>0</v>
      </c>
      <c r="D2">
        <v>0</v>
      </c>
      <c r="E2">
        <v>0</v>
      </c>
      <c r="F2">
        <v>0</v>
      </c>
      <c r="G2">
        <v>0</v>
      </c>
      <c r="H2">
        <v>0</v>
      </c>
      <c r="I2">
        <v>0</v>
      </c>
      <c r="J2">
        <v>0</v>
      </c>
      <c r="K2">
        <v>0</v>
      </c>
      <c r="L2">
        <v>0</v>
      </c>
      <c r="M2">
        <v>0</v>
      </c>
      <c r="N2">
        <v>0</v>
      </c>
      <c r="O2">
        <v>0</v>
      </c>
      <c r="P2">
        <v>0</v>
      </c>
      <c r="Q2">
        <v>0</v>
      </c>
      <c r="R2">
        <v>0</v>
      </c>
      <c r="S2">
        <v>0</v>
      </c>
      <c r="T2">
        <v>0</v>
      </c>
      <c r="U2">
        <v>0</v>
      </c>
      <c r="V2">
        <v>0</v>
      </c>
      <c r="W2">
        <v>0</v>
      </c>
      <c r="X2">
        <v>0</v>
      </c>
      <c r="Y2">
        <v>0</v>
      </c>
      <c r="Z2" t="s">
        <v>580</v>
      </c>
      <c r="AA2" t="s">
        <v>581</v>
      </c>
    </row>
    <row r="3" spans="1:27">
      <c r="A3">
        <v>4230552.3854999999</v>
      </c>
      <c r="B3">
        <v>483491.70120000001</v>
      </c>
      <c r="C3">
        <v>483491.70120000001</v>
      </c>
      <c r="D3">
        <v>0</v>
      </c>
      <c r="E3">
        <v>531840.87132000003</v>
      </c>
      <c r="F3">
        <v>0</v>
      </c>
      <c r="G3">
        <v>604364.62650000001</v>
      </c>
      <c r="H3">
        <v>241745.85060000001</v>
      </c>
      <c r="I3">
        <v>604364.62650000001</v>
      </c>
      <c r="J3">
        <v>483491.70120000001</v>
      </c>
      <c r="K3">
        <v>725237.55180000002</v>
      </c>
      <c r="L3">
        <v>0</v>
      </c>
      <c r="M3">
        <v>241745.85060000001</v>
      </c>
      <c r="N3">
        <v>120872.9253</v>
      </c>
      <c r="O3">
        <v>120872.9253</v>
      </c>
      <c r="P3">
        <v>0</v>
      </c>
      <c r="Q3">
        <v>120872.9253</v>
      </c>
      <c r="R3">
        <v>241745.85060000001</v>
      </c>
      <c r="S3">
        <v>241745.85060000001</v>
      </c>
      <c r="T3">
        <v>725237.55180000002</v>
      </c>
      <c r="U3">
        <v>241745.85060000001</v>
      </c>
      <c r="V3">
        <v>181309.38795</v>
      </c>
      <c r="W3">
        <v>241745.85060000001</v>
      </c>
      <c r="X3">
        <v>181309.38795</v>
      </c>
      <c r="Y3">
        <v>0</v>
      </c>
      <c r="Z3" t="s">
        <v>577</v>
      </c>
      <c r="AA3" t="s">
        <v>578</v>
      </c>
    </row>
    <row r="4" spans="1:27">
      <c r="A4">
        <v>0</v>
      </c>
      <c r="B4">
        <v>0</v>
      </c>
      <c r="C4">
        <v>0</v>
      </c>
      <c r="D4">
        <v>0</v>
      </c>
      <c r="E4">
        <v>0</v>
      </c>
      <c r="F4">
        <v>0</v>
      </c>
      <c r="G4">
        <v>0</v>
      </c>
      <c r="H4">
        <v>0</v>
      </c>
      <c r="I4">
        <v>0</v>
      </c>
      <c r="J4">
        <v>0</v>
      </c>
      <c r="K4">
        <v>16295.594159999999</v>
      </c>
      <c r="L4">
        <v>0</v>
      </c>
      <c r="M4">
        <v>0</v>
      </c>
      <c r="N4">
        <v>0</v>
      </c>
      <c r="O4">
        <v>0</v>
      </c>
      <c r="P4">
        <v>0</v>
      </c>
      <c r="Q4">
        <v>0</v>
      </c>
      <c r="R4">
        <v>32591.188319999997</v>
      </c>
      <c r="S4">
        <v>0</v>
      </c>
      <c r="T4">
        <v>0</v>
      </c>
      <c r="U4">
        <v>0</v>
      </c>
      <c r="V4">
        <v>0</v>
      </c>
      <c r="W4">
        <v>0</v>
      </c>
      <c r="X4">
        <v>0</v>
      </c>
      <c r="Y4">
        <v>8147.7970799999994</v>
      </c>
      <c r="Z4" t="s">
        <v>523</v>
      </c>
      <c r="AA4" t="s">
        <v>524</v>
      </c>
    </row>
    <row r="5" spans="1:27">
      <c r="A5">
        <v>0</v>
      </c>
      <c r="B5">
        <v>0</v>
      </c>
      <c r="C5">
        <v>0</v>
      </c>
      <c r="D5">
        <v>0</v>
      </c>
      <c r="E5">
        <v>0</v>
      </c>
      <c r="F5">
        <v>0</v>
      </c>
      <c r="G5">
        <v>0</v>
      </c>
      <c r="H5">
        <v>0</v>
      </c>
      <c r="I5">
        <v>0</v>
      </c>
      <c r="J5">
        <v>0</v>
      </c>
      <c r="K5">
        <v>20023.609800000002</v>
      </c>
      <c r="L5">
        <v>0</v>
      </c>
      <c r="M5">
        <v>0</v>
      </c>
      <c r="N5">
        <v>0</v>
      </c>
      <c r="O5">
        <v>0</v>
      </c>
      <c r="P5">
        <v>0</v>
      </c>
      <c r="Q5">
        <v>0</v>
      </c>
      <c r="R5">
        <v>0</v>
      </c>
      <c r="S5">
        <v>0</v>
      </c>
      <c r="T5">
        <v>20023.609800000002</v>
      </c>
      <c r="U5">
        <v>35041.317150000003</v>
      </c>
      <c r="V5">
        <v>25029.512250000003</v>
      </c>
      <c r="W5">
        <v>0</v>
      </c>
      <c r="X5">
        <v>25029.512250000003</v>
      </c>
      <c r="Y5">
        <v>0</v>
      </c>
      <c r="Z5" t="s">
        <v>523</v>
      </c>
      <c r="AA5" t="s">
        <v>524</v>
      </c>
    </row>
    <row r="6" spans="1:27">
      <c r="A6">
        <v>103304.28959999999</v>
      </c>
      <c r="B6">
        <v>41321.715839999997</v>
      </c>
      <c r="C6">
        <v>30991.28688</v>
      </c>
      <c r="D6">
        <v>0</v>
      </c>
      <c r="E6">
        <v>77478.217199999999</v>
      </c>
      <c r="F6">
        <v>41321.715839999997</v>
      </c>
      <c r="G6">
        <v>41321.715839999997</v>
      </c>
      <c r="H6">
        <v>30991.28688</v>
      </c>
      <c r="I6">
        <v>30991.28688</v>
      </c>
      <c r="J6">
        <v>41321.715839999997</v>
      </c>
      <c r="K6">
        <v>25826.072399999997</v>
      </c>
      <c r="L6">
        <v>0</v>
      </c>
      <c r="M6">
        <v>20660.857919999999</v>
      </c>
      <c r="N6">
        <v>10330.428959999999</v>
      </c>
      <c r="O6">
        <v>20660.857919999999</v>
      </c>
      <c r="P6">
        <v>41321.715839999997</v>
      </c>
      <c r="Q6">
        <v>20660.857919999999</v>
      </c>
      <c r="R6">
        <v>0</v>
      </c>
      <c r="S6">
        <v>20660.857919999999</v>
      </c>
      <c r="T6">
        <v>25826.072399999997</v>
      </c>
      <c r="U6">
        <v>36156.501359999995</v>
      </c>
      <c r="V6">
        <v>25826.072399999997</v>
      </c>
      <c r="W6">
        <v>0</v>
      </c>
      <c r="X6">
        <v>25826.072399999997</v>
      </c>
      <c r="Y6">
        <v>0</v>
      </c>
      <c r="Z6" t="s">
        <v>523</v>
      </c>
      <c r="AA6" t="s">
        <v>524</v>
      </c>
    </row>
    <row r="7" spans="1:27">
      <c r="A7">
        <v>25142.587200000002</v>
      </c>
      <c r="B7">
        <v>5028.5174400000005</v>
      </c>
      <c r="C7">
        <v>10057.034880000001</v>
      </c>
      <c r="D7">
        <v>0</v>
      </c>
      <c r="E7">
        <v>0</v>
      </c>
      <c r="F7">
        <v>0</v>
      </c>
      <c r="G7">
        <v>10057.034880000001</v>
      </c>
      <c r="H7">
        <v>6285.6468000000004</v>
      </c>
      <c r="I7">
        <v>10057.034880000001</v>
      </c>
      <c r="J7">
        <v>3771.3880800000006</v>
      </c>
      <c r="K7">
        <v>2514.2587200000003</v>
      </c>
      <c r="L7">
        <v>12571.293600000001</v>
      </c>
      <c r="M7">
        <v>5028.5174400000005</v>
      </c>
      <c r="N7">
        <v>5028.5174400000005</v>
      </c>
      <c r="O7">
        <v>5028.5174400000005</v>
      </c>
      <c r="P7">
        <v>18856.940400000003</v>
      </c>
      <c r="Q7">
        <v>5028.5174400000005</v>
      </c>
      <c r="R7">
        <v>7542.7761600000013</v>
      </c>
      <c r="S7">
        <v>0</v>
      </c>
      <c r="T7">
        <v>12571.293600000001</v>
      </c>
      <c r="U7">
        <v>6285.6468000000004</v>
      </c>
      <c r="V7">
        <v>18856.940400000003</v>
      </c>
      <c r="W7">
        <v>6285.6468000000004</v>
      </c>
      <c r="X7">
        <v>18856.940400000003</v>
      </c>
      <c r="Y7">
        <v>3771.3880800000006</v>
      </c>
      <c r="Z7" t="s">
        <v>499</v>
      </c>
      <c r="AA7" t="s">
        <v>500</v>
      </c>
    </row>
    <row r="8" spans="1:27">
      <c r="A8">
        <v>17230.809600000001</v>
      </c>
      <c r="B8">
        <v>0</v>
      </c>
      <c r="C8">
        <v>0</v>
      </c>
      <c r="D8">
        <v>0</v>
      </c>
      <c r="E8">
        <v>0</v>
      </c>
      <c r="F8">
        <v>0</v>
      </c>
      <c r="G8">
        <v>0</v>
      </c>
      <c r="H8">
        <v>0</v>
      </c>
      <c r="I8">
        <v>0</v>
      </c>
      <c r="J8">
        <v>0</v>
      </c>
      <c r="K8">
        <v>9189.76512</v>
      </c>
      <c r="L8">
        <v>11487.206399999999</v>
      </c>
      <c r="M8">
        <v>0</v>
      </c>
      <c r="N8">
        <v>0</v>
      </c>
      <c r="O8">
        <v>0</v>
      </c>
      <c r="P8">
        <v>0</v>
      </c>
      <c r="Q8">
        <v>0</v>
      </c>
      <c r="R8">
        <v>0</v>
      </c>
      <c r="S8">
        <v>0</v>
      </c>
      <c r="T8">
        <v>0</v>
      </c>
      <c r="U8">
        <v>5743.6031999999996</v>
      </c>
      <c r="V8">
        <v>5743.6031999999996</v>
      </c>
      <c r="W8">
        <v>0</v>
      </c>
      <c r="X8">
        <v>5743.6031999999996</v>
      </c>
      <c r="Y8">
        <v>3446.16192</v>
      </c>
      <c r="Z8" t="s">
        <v>499</v>
      </c>
      <c r="AA8" t="s">
        <v>500</v>
      </c>
    </row>
    <row r="9" spans="1:27">
      <c r="A9">
        <v>0</v>
      </c>
      <c r="B9">
        <v>0</v>
      </c>
      <c r="C9">
        <v>90402.219600000011</v>
      </c>
      <c r="D9">
        <v>0</v>
      </c>
      <c r="E9">
        <v>63281.553720000004</v>
      </c>
      <c r="F9">
        <v>90402.219600000011</v>
      </c>
      <c r="G9">
        <v>90402.219600000011</v>
      </c>
      <c r="H9">
        <v>90402.219600000011</v>
      </c>
      <c r="I9">
        <v>90402.219600000011</v>
      </c>
      <c r="J9">
        <v>90402.219600000011</v>
      </c>
      <c r="K9">
        <v>90402.219600000011</v>
      </c>
      <c r="L9">
        <v>45201.109800000006</v>
      </c>
      <c r="M9">
        <v>72321.775680000006</v>
      </c>
      <c r="N9">
        <v>54241.331760000001</v>
      </c>
      <c r="O9">
        <v>54241.331760000001</v>
      </c>
      <c r="P9">
        <v>90402.219600000011</v>
      </c>
      <c r="Q9">
        <v>54241.331760000001</v>
      </c>
      <c r="R9">
        <v>72321.775680000006</v>
      </c>
      <c r="S9">
        <v>135603.32940000002</v>
      </c>
      <c r="T9">
        <v>90402.219600000011</v>
      </c>
      <c r="U9">
        <v>54241.331760000001</v>
      </c>
      <c r="V9">
        <v>36160.887840000003</v>
      </c>
      <c r="W9">
        <v>36160.887840000003</v>
      </c>
      <c r="X9">
        <v>36160.887840000003</v>
      </c>
      <c r="Y9">
        <v>90402.219600000011</v>
      </c>
      <c r="Z9" t="s">
        <v>594</v>
      </c>
      <c r="AA9" t="s">
        <v>595</v>
      </c>
    </row>
    <row r="10" spans="1:27">
      <c r="A10">
        <v>21390.468299999997</v>
      </c>
      <c r="B10">
        <v>8556.1873199999991</v>
      </c>
      <c r="C10">
        <v>0</v>
      </c>
      <c r="D10">
        <v>0</v>
      </c>
      <c r="E10">
        <v>19251.421469999997</v>
      </c>
      <c r="F10">
        <v>4278.0936599999995</v>
      </c>
      <c r="G10">
        <v>8556.1873199999991</v>
      </c>
      <c r="H10">
        <v>4278.0936599999995</v>
      </c>
      <c r="I10">
        <v>0</v>
      </c>
      <c r="J10">
        <v>8556.1873199999991</v>
      </c>
      <c r="K10">
        <v>8556.1873199999991</v>
      </c>
      <c r="L10">
        <v>0</v>
      </c>
      <c r="M10">
        <v>4278.0936599999995</v>
      </c>
      <c r="N10">
        <v>2139.0468299999998</v>
      </c>
      <c r="O10">
        <v>4278.0936599999995</v>
      </c>
      <c r="P10">
        <v>0</v>
      </c>
      <c r="Q10">
        <v>4278.0936599999995</v>
      </c>
      <c r="R10">
        <v>0</v>
      </c>
      <c r="S10">
        <v>2139.0468299999998</v>
      </c>
      <c r="T10">
        <v>6417.1404899999998</v>
      </c>
      <c r="U10">
        <v>42780.936599999994</v>
      </c>
      <c r="V10">
        <v>32085.702449999997</v>
      </c>
      <c r="W10">
        <v>0</v>
      </c>
      <c r="X10">
        <v>32085.702449999997</v>
      </c>
      <c r="Y10">
        <v>0</v>
      </c>
      <c r="Z10" t="s">
        <v>564</v>
      </c>
      <c r="AA10" t="s">
        <v>565</v>
      </c>
    </row>
    <row r="11" spans="1:27">
      <c r="A11">
        <v>474715.60800000001</v>
      </c>
      <c r="B11">
        <v>178018.353</v>
      </c>
      <c r="C11">
        <v>178018.353</v>
      </c>
      <c r="D11">
        <v>0</v>
      </c>
      <c r="E11">
        <v>284829.36479999998</v>
      </c>
      <c r="F11">
        <v>0</v>
      </c>
      <c r="G11">
        <v>356036.70600000001</v>
      </c>
      <c r="H11">
        <v>118678.902</v>
      </c>
      <c r="I11">
        <v>356036.70600000001</v>
      </c>
      <c r="J11">
        <v>356036.70600000001</v>
      </c>
      <c r="K11">
        <v>356036.70600000001</v>
      </c>
      <c r="L11">
        <v>0</v>
      </c>
      <c r="M11">
        <v>178018.353</v>
      </c>
      <c r="N11">
        <v>59339.451000000001</v>
      </c>
      <c r="O11">
        <v>59339.451000000001</v>
      </c>
      <c r="P11">
        <v>0</v>
      </c>
      <c r="Q11">
        <v>59339.451000000001</v>
      </c>
      <c r="R11">
        <v>118678.902</v>
      </c>
      <c r="S11">
        <v>118678.902</v>
      </c>
      <c r="T11">
        <v>59339.451000000001</v>
      </c>
      <c r="U11">
        <v>89009.176500000001</v>
      </c>
      <c r="V11">
        <v>148348.6275</v>
      </c>
      <c r="W11">
        <v>118678.902</v>
      </c>
      <c r="X11">
        <v>148348.6275</v>
      </c>
      <c r="Y11">
        <v>29669.7255</v>
      </c>
      <c r="Z11" t="s">
        <v>583</v>
      </c>
      <c r="AA11" t="s">
        <v>584</v>
      </c>
    </row>
    <row r="12" spans="1:27">
      <c r="A12">
        <v>42401.371799999994</v>
      </c>
      <c r="B12">
        <v>0</v>
      </c>
      <c r="C12">
        <v>0</v>
      </c>
      <c r="D12">
        <v>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t="s">
        <v>583</v>
      </c>
      <c r="AA12" t="s">
        <v>584</v>
      </c>
    </row>
    <row r="13" spans="1:27">
      <c r="A13">
        <v>25987.0965</v>
      </c>
      <c r="B13">
        <v>7796.1289500000003</v>
      </c>
      <c r="C13">
        <v>7796.1289500000003</v>
      </c>
      <c r="D13">
        <v>0</v>
      </c>
      <c r="E13">
        <v>9875.0966700000008</v>
      </c>
      <c r="F13">
        <v>7796.1289500000003</v>
      </c>
      <c r="G13">
        <v>7796.1289500000003</v>
      </c>
      <c r="H13">
        <v>5197.4193000000005</v>
      </c>
      <c r="I13">
        <v>7796.1289500000003</v>
      </c>
      <c r="J13">
        <v>3118.4515799999999</v>
      </c>
      <c r="K13">
        <v>7796.1289500000003</v>
      </c>
      <c r="L13">
        <v>0</v>
      </c>
      <c r="M13">
        <v>5197.4193000000005</v>
      </c>
      <c r="N13">
        <v>2598.7096500000002</v>
      </c>
      <c r="O13">
        <v>5197.4193000000005</v>
      </c>
      <c r="P13">
        <v>7796.1289500000003</v>
      </c>
      <c r="Q13">
        <v>5197.4193000000005</v>
      </c>
      <c r="R13">
        <v>7796.1289500000003</v>
      </c>
      <c r="S13">
        <v>7796.1289500000003</v>
      </c>
      <c r="T13">
        <v>3118.4515799999999</v>
      </c>
      <c r="U13">
        <v>10394.838600000001</v>
      </c>
      <c r="V13">
        <v>20789.677200000002</v>
      </c>
      <c r="W13">
        <v>7796.1289500000003</v>
      </c>
      <c r="X13">
        <v>20789.677200000002</v>
      </c>
      <c r="Y13">
        <v>1559.22579</v>
      </c>
      <c r="Z13" t="s">
        <v>535</v>
      </c>
      <c r="AA13" t="s">
        <v>536</v>
      </c>
    </row>
    <row r="14" spans="1:27">
      <c r="A14">
        <v>0</v>
      </c>
      <c r="B14">
        <v>0</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t="s">
        <v>535</v>
      </c>
      <c r="AA14" t="s">
        <v>536</v>
      </c>
    </row>
    <row r="15" spans="1:27">
      <c r="A15">
        <v>40678.335600000006</v>
      </c>
      <c r="B15">
        <v>10460.143440000002</v>
      </c>
      <c r="C15">
        <v>17433.572400000001</v>
      </c>
      <c r="D15">
        <v>0</v>
      </c>
      <c r="E15">
        <v>0</v>
      </c>
      <c r="F15">
        <v>0</v>
      </c>
      <c r="G15">
        <v>17433.572400000001</v>
      </c>
      <c r="H15">
        <v>11622.381600000001</v>
      </c>
      <c r="I15">
        <v>17433.572400000001</v>
      </c>
      <c r="J15">
        <v>11622.381600000001</v>
      </c>
      <c r="K15">
        <v>17433.572400000001</v>
      </c>
      <c r="L15">
        <v>0</v>
      </c>
      <c r="M15">
        <v>0</v>
      </c>
      <c r="N15">
        <v>3486.7144800000005</v>
      </c>
      <c r="O15">
        <v>0</v>
      </c>
      <c r="P15">
        <v>0</v>
      </c>
      <c r="Q15">
        <v>5811.1908000000003</v>
      </c>
      <c r="R15">
        <v>17433.572400000001</v>
      </c>
      <c r="S15">
        <v>0</v>
      </c>
      <c r="T15">
        <v>5811.1908000000003</v>
      </c>
      <c r="U15">
        <v>0</v>
      </c>
      <c r="V15">
        <v>23244.763200000001</v>
      </c>
      <c r="W15">
        <v>17433.572400000001</v>
      </c>
      <c r="X15">
        <v>23244.763200000001</v>
      </c>
      <c r="Y15">
        <v>0</v>
      </c>
      <c r="Z15" t="s">
        <v>535</v>
      </c>
      <c r="AA15" t="s">
        <v>536</v>
      </c>
    </row>
    <row r="16" spans="1:27">
      <c r="A16">
        <v>67253.019</v>
      </c>
      <c r="B16">
        <v>26901.207599999998</v>
      </c>
      <c r="C16">
        <v>26901.207599999998</v>
      </c>
      <c r="D16">
        <v>0</v>
      </c>
      <c r="E16">
        <v>64562.898239999995</v>
      </c>
      <c r="F16">
        <v>0</v>
      </c>
      <c r="G16">
        <v>0</v>
      </c>
      <c r="H16">
        <v>6725.3018999999995</v>
      </c>
      <c r="I16">
        <v>26901.207599999998</v>
      </c>
      <c r="J16">
        <v>13450.603799999999</v>
      </c>
      <c r="K16">
        <v>26901.207599999998</v>
      </c>
      <c r="L16">
        <v>0</v>
      </c>
      <c r="M16">
        <v>13450.603799999999</v>
      </c>
      <c r="N16">
        <v>13450.603799999999</v>
      </c>
      <c r="O16">
        <v>13450.603799999999</v>
      </c>
      <c r="P16">
        <v>0</v>
      </c>
      <c r="Q16">
        <v>6725.3018999999995</v>
      </c>
      <c r="R16">
        <v>13450.603799999999</v>
      </c>
      <c r="S16">
        <v>20175.905699999999</v>
      </c>
      <c r="T16">
        <v>8070.3622799999994</v>
      </c>
      <c r="U16">
        <v>26901.207599999998</v>
      </c>
      <c r="V16">
        <v>53802.415199999996</v>
      </c>
      <c r="W16">
        <v>0</v>
      </c>
      <c r="X16">
        <v>53802.415199999996</v>
      </c>
      <c r="Y16">
        <v>0</v>
      </c>
      <c r="Z16" t="s">
        <v>535</v>
      </c>
      <c r="AA16" t="s">
        <v>536</v>
      </c>
    </row>
    <row r="17" spans="1:27">
      <c r="A17">
        <v>42650.349300000002</v>
      </c>
      <c r="B17">
        <v>17060.139719999999</v>
      </c>
      <c r="C17">
        <v>17060.139719999999</v>
      </c>
      <c r="D17">
        <v>0</v>
      </c>
      <c r="E17">
        <v>54023.775780000004</v>
      </c>
      <c r="F17">
        <v>0</v>
      </c>
      <c r="G17">
        <v>0</v>
      </c>
      <c r="H17">
        <v>0</v>
      </c>
      <c r="I17">
        <v>17060.139719999999</v>
      </c>
      <c r="J17">
        <v>14216.783100000001</v>
      </c>
      <c r="K17">
        <v>17060.139719999999</v>
      </c>
      <c r="L17">
        <v>0</v>
      </c>
      <c r="M17">
        <v>8530.0698599999996</v>
      </c>
      <c r="N17">
        <v>4265.0349299999998</v>
      </c>
      <c r="O17">
        <v>8530.0698599999996</v>
      </c>
      <c r="P17">
        <v>0</v>
      </c>
      <c r="Q17">
        <v>8530.0698599999996</v>
      </c>
      <c r="R17">
        <v>21325.174650000001</v>
      </c>
      <c r="S17">
        <v>0</v>
      </c>
      <c r="T17">
        <v>8530.0698599999996</v>
      </c>
      <c r="U17">
        <v>0</v>
      </c>
      <c r="V17">
        <v>0</v>
      </c>
      <c r="W17">
        <v>0</v>
      </c>
      <c r="X17">
        <v>0</v>
      </c>
      <c r="Y17">
        <v>0</v>
      </c>
      <c r="Z17" t="s">
        <v>535</v>
      </c>
      <c r="AA17" t="s">
        <v>536</v>
      </c>
    </row>
    <row r="18" spans="1:27">
      <c r="A18">
        <v>0</v>
      </c>
      <c r="B18">
        <v>21277.292640000003</v>
      </c>
      <c r="C18">
        <v>21277.292640000003</v>
      </c>
      <c r="D18">
        <v>0</v>
      </c>
      <c r="E18">
        <v>0</v>
      </c>
      <c r="F18">
        <v>0</v>
      </c>
      <c r="G18">
        <v>0</v>
      </c>
      <c r="H18">
        <v>10638.646320000002</v>
      </c>
      <c r="I18">
        <v>21277.292640000003</v>
      </c>
      <c r="J18">
        <v>0</v>
      </c>
      <c r="K18">
        <v>0</v>
      </c>
      <c r="L18">
        <v>0</v>
      </c>
      <c r="M18">
        <v>0</v>
      </c>
      <c r="N18">
        <v>10638.646320000002</v>
      </c>
      <c r="O18">
        <v>0</v>
      </c>
      <c r="P18">
        <v>0</v>
      </c>
      <c r="Q18">
        <v>0</v>
      </c>
      <c r="R18">
        <v>21277.292640000003</v>
      </c>
      <c r="S18">
        <v>26596.615800000003</v>
      </c>
      <c r="T18">
        <v>13298.307900000002</v>
      </c>
      <c r="U18">
        <v>53193.231600000006</v>
      </c>
      <c r="V18">
        <v>79789.847400000013</v>
      </c>
      <c r="W18">
        <v>0</v>
      </c>
      <c r="X18">
        <v>79789.847400000013</v>
      </c>
      <c r="Y18">
        <v>13298.307900000002</v>
      </c>
      <c r="Z18" t="s">
        <v>535</v>
      </c>
      <c r="AA18" t="s">
        <v>536</v>
      </c>
    </row>
    <row r="19" spans="1:27">
      <c r="A19">
        <v>60880.537799999998</v>
      </c>
      <c r="B19">
        <v>16234.810079999999</v>
      </c>
      <c r="C19">
        <v>16234.810079999999</v>
      </c>
      <c r="D19">
        <v>0</v>
      </c>
      <c r="E19">
        <v>0</v>
      </c>
      <c r="F19">
        <v>0</v>
      </c>
      <c r="G19">
        <v>0</v>
      </c>
      <c r="H19">
        <v>0</v>
      </c>
      <c r="I19">
        <v>16234.810079999999</v>
      </c>
      <c r="J19">
        <v>0</v>
      </c>
      <c r="K19">
        <v>0</v>
      </c>
      <c r="L19">
        <v>0</v>
      </c>
      <c r="M19">
        <v>0</v>
      </c>
      <c r="N19">
        <v>6088.0537800000002</v>
      </c>
      <c r="O19">
        <v>0</v>
      </c>
      <c r="P19">
        <v>0</v>
      </c>
      <c r="Q19">
        <v>0</v>
      </c>
      <c r="R19">
        <v>0</v>
      </c>
      <c r="S19">
        <v>0</v>
      </c>
      <c r="T19">
        <v>0</v>
      </c>
      <c r="U19">
        <v>0</v>
      </c>
      <c r="V19">
        <v>20293.512599999998</v>
      </c>
      <c r="W19">
        <v>0</v>
      </c>
      <c r="X19">
        <v>20293.512599999998</v>
      </c>
      <c r="Y19">
        <v>0</v>
      </c>
      <c r="Z19" t="s">
        <v>535</v>
      </c>
      <c r="AA19" t="s">
        <v>536</v>
      </c>
    </row>
    <row r="20" spans="1:27">
      <c r="A20">
        <v>0</v>
      </c>
      <c r="B20">
        <v>0</v>
      </c>
      <c r="C20">
        <v>0</v>
      </c>
      <c r="D20">
        <v>0</v>
      </c>
      <c r="E20">
        <v>0</v>
      </c>
      <c r="F20">
        <v>0</v>
      </c>
      <c r="G20">
        <v>0</v>
      </c>
      <c r="H20">
        <v>0</v>
      </c>
      <c r="I20">
        <v>0</v>
      </c>
      <c r="J20">
        <v>0</v>
      </c>
      <c r="K20">
        <v>0</v>
      </c>
      <c r="L20">
        <v>4258.6902</v>
      </c>
      <c r="M20">
        <v>0</v>
      </c>
      <c r="N20">
        <v>0</v>
      </c>
      <c r="O20">
        <v>0</v>
      </c>
      <c r="P20">
        <v>0</v>
      </c>
      <c r="Q20">
        <v>0</v>
      </c>
      <c r="R20">
        <v>0</v>
      </c>
      <c r="S20">
        <v>0</v>
      </c>
      <c r="T20">
        <v>0</v>
      </c>
      <c r="U20">
        <v>0</v>
      </c>
      <c r="V20">
        <v>0</v>
      </c>
      <c r="W20">
        <v>0</v>
      </c>
      <c r="X20">
        <v>0</v>
      </c>
      <c r="Y20">
        <v>0</v>
      </c>
      <c r="Z20" t="s">
        <v>535</v>
      </c>
      <c r="AA20" t="s">
        <v>536</v>
      </c>
    </row>
    <row r="21" spans="1:27">
      <c r="A21">
        <v>0</v>
      </c>
      <c r="B21">
        <v>0</v>
      </c>
      <c r="C21">
        <v>0</v>
      </c>
      <c r="D21">
        <v>0</v>
      </c>
      <c r="E21">
        <v>0</v>
      </c>
      <c r="F21">
        <v>0</v>
      </c>
      <c r="G21">
        <v>0</v>
      </c>
      <c r="H21">
        <v>0</v>
      </c>
      <c r="I21">
        <v>0</v>
      </c>
      <c r="J21">
        <v>0</v>
      </c>
      <c r="K21">
        <v>0</v>
      </c>
      <c r="L21">
        <v>5534.6411399999997</v>
      </c>
      <c r="M21">
        <v>0</v>
      </c>
      <c r="N21">
        <v>0</v>
      </c>
      <c r="O21">
        <v>0</v>
      </c>
      <c r="P21">
        <v>0</v>
      </c>
      <c r="Q21">
        <v>0</v>
      </c>
      <c r="R21">
        <v>5534.6411399999997</v>
      </c>
      <c r="S21">
        <v>0</v>
      </c>
      <c r="T21">
        <v>0</v>
      </c>
      <c r="U21">
        <v>2767.3205699999999</v>
      </c>
      <c r="V21">
        <v>11069.282279999999</v>
      </c>
      <c r="W21">
        <v>0</v>
      </c>
      <c r="X21">
        <v>11069.282279999999</v>
      </c>
      <c r="Y21">
        <v>0</v>
      </c>
      <c r="Z21" t="s">
        <v>519</v>
      </c>
      <c r="AA21" t="s">
        <v>520</v>
      </c>
    </row>
    <row r="22" spans="1:27">
      <c r="A22">
        <v>0</v>
      </c>
      <c r="B22">
        <v>0</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t="s">
        <v>519</v>
      </c>
      <c r="AA22" t="s">
        <v>520</v>
      </c>
    </row>
    <row r="23" spans="1:27">
      <c r="A23">
        <v>0</v>
      </c>
      <c r="B23">
        <v>0</v>
      </c>
      <c r="C23">
        <v>0</v>
      </c>
      <c r="D23">
        <v>0</v>
      </c>
      <c r="E23">
        <v>13483.726200000001</v>
      </c>
      <c r="F23">
        <v>0</v>
      </c>
      <c r="G23">
        <v>0</v>
      </c>
      <c r="H23">
        <v>0</v>
      </c>
      <c r="I23">
        <v>0</v>
      </c>
      <c r="J23">
        <v>0</v>
      </c>
      <c r="K23">
        <v>0</v>
      </c>
      <c r="L23">
        <v>5393.4904800000004</v>
      </c>
      <c r="M23">
        <v>0</v>
      </c>
      <c r="N23">
        <v>0</v>
      </c>
      <c r="O23">
        <v>0</v>
      </c>
      <c r="P23">
        <v>13483.726200000001</v>
      </c>
      <c r="Q23">
        <v>0</v>
      </c>
      <c r="R23">
        <v>10786.980960000001</v>
      </c>
      <c r="S23">
        <v>0</v>
      </c>
      <c r="T23">
        <v>0</v>
      </c>
      <c r="U23">
        <v>16180.471440000001</v>
      </c>
      <c r="V23">
        <v>26967.452400000002</v>
      </c>
      <c r="W23">
        <v>0</v>
      </c>
      <c r="X23">
        <v>26967.452400000002</v>
      </c>
      <c r="Y23">
        <v>0</v>
      </c>
      <c r="Z23" t="s">
        <v>519</v>
      </c>
      <c r="AA23" t="s">
        <v>520</v>
      </c>
    </row>
    <row r="24" spans="1:27">
      <c r="A24">
        <v>839119.63650000014</v>
      </c>
      <c r="B24">
        <v>134259.14184000003</v>
      </c>
      <c r="C24">
        <v>0</v>
      </c>
      <c r="D24">
        <v>0</v>
      </c>
      <c r="E24">
        <v>201388.71276000002</v>
      </c>
      <c r="F24">
        <v>0</v>
      </c>
      <c r="G24">
        <v>100694.35638000001</v>
      </c>
      <c r="H24">
        <v>100694.35638000001</v>
      </c>
      <c r="I24">
        <v>134259.14184000003</v>
      </c>
      <c r="J24">
        <v>134259.14184000003</v>
      </c>
      <c r="K24">
        <v>134259.14184000003</v>
      </c>
      <c r="L24">
        <v>0</v>
      </c>
      <c r="M24">
        <v>0</v>
      </c>
      <c r="N24">
        <v>0</v>
      </c>
      <c r="O24">
        <v>0</v>
      </c>
      <c r="P24">
        <v>0</v>
      </c>
      <c r="Q24">
        <v>67129.570920000013</v>
      </c>
      <c r="R24">
        <v>83911.96365000002</v>
      </c>
      <c r="S24">
        <v>0</v>
      </c>
      <c r="T24">
        <v>50347.178190000006</v>
      </c>
      <c r="U24">
        <v>33564.785460000006</v>
      </c>
      <c r="V24">
        <v>0</v>
      </c>
      <c r="W24">
        <v>0</v>
      </c>
      <c r="X24">
        <v>0</v>
      </c>
      <c r="Y24">
        <v>0</v>
      </c>
      <c r="Z24" t="s">
        <v>472</v>
      </c>
      <c r="AA24" t="s">
        <v>473</v>
      </c>
    </row>
    <row r="25" spans="1:27">
      <c r="A25">
        <v>719204.35140000004</v>
      </c>
      <c r="B25">
        <v>47946.956760000001</v>
      </c>
      <c r="C25">
        <v>0</v>
      </c>
      <c r="D25">
        <v>0</v>
      </c>
      <c r="E25">
        <v>0</v>
      </c>
      <c r="F25">
        <v>0</v>
      </c>
      <c r="G25">
        <v>0</v>
      </c>
      <c r="H25">
        <v>15982.31892</v>
      </c>
      <c r="I25">
        <v>0</v>
      </c>
      <c r="J25">
        <v>47946.956760000001</v>
      </c>
      <c r="K25">
        <v>31964.637839999999</v>
      </c>
      <c r="L25">
        <v>207770.14595999999</v>
      </c>
      <c r="M25">
        <v>0</v>
      </c>
      <c r="N25">
        <v>15982.31892</v>
      </c>
      <c r="O25">
        <v>0</v>
      </c>
      <c r="P25">
        <v>0</v>
      </c>
      <c r="Q25">
        <v>47946.956760000001</v>
      </c>
      <c r="R25">
        <v>95893.913520000002</v>
      </c>
      <c r="S25">
        <v>0</v>
      </c>
      <c r="T25">
        <v>47946.956760000001</v>
      </c>
      <c r="U25">
        <v>79911.594599999997</v>
      </c>
      <c r="V25">
        <v>63929.275679999999</v>
      </c>
      <c r="W25">
        <v>0</v>
      </c>
      <c r="X25">
        <v>63929.275679999999</v>
      </c>
      <c r="Y25">
        <v>0</v>
      </c>
      <c r="Z25" t="s">
        <v>472</v>
      </c>
      <c r="AA25" t="s">
        <v>473</v>
      </c>
    </row>
    <row r="26" spans="1:27">
      <c r="A26">
        <v>91970.990460000015</v>
      </c>
      <c r="B26">
        <v>30656.996820000004</v>
      </c>
      <c r="C26">
        <v>0</v>
      </c>
      <c r="D26">
        <v>0</v>
      </c>
      <c r="E26">
        <v>0</v>
      </c>
      <c r="F26">
        <v>0</v>
      </c>
      <c r="G26">
        <v>40875.995760000005</v>
      </c>
      <c r="H26">
        <v>30656.996820000004</v>
      </c>
      <c r="I26">
        <v>0</v>
      </c>
      <c r="J26">
        <v>40875.995760000005</v>
      </c>
      <c r="K26">
        <v>10218.998940000001</v>
      </c>
      <c r="L26">
        <v>0</v>
      </c>
      <c r="M26">
        <v>5109.4994700000007</v>
      </c>
      <c r="N26">
        <v>0</v>
      </c>
      <c r="O26">
        <v>10218.998940000001</v>
      </c>
      <c r="P26">
        <v>0</v>
      </c>
      <c r="Q26">
        <v>15328.498410000002</v>
      </c>
      <c r="R26">
        <v>51094.99470000001</v>
      </c>
      <c r="S26">
        <v>0</v>
      </c>
      <c r="T26">
        <v>20437.997880000003</v>
      </c>
      <c r="U26">
        <v>15328.498410000002</v>
      </c>
      <c r="V26">
        <v>35766.496290000003</v>
      </c>
      <c r="W26">
        <v>15328.498410000002</v>
      </c>
      <c r="X26">
        <v>35766.496290000003</v>
      </c>
      <c r="Y26">
        <v>0</v>
      </c>
      <c r="Z26" t="s">
        <v>455</v>
      </c>
      <c r="AA26" t="s">
        <v>456</v>
      </c>
    </row>
    <row r="27" spans="1:27">
      <c r="A27">
        <v>210064.94639999999</v>
      </c>
      <c r="B27">
        <v>9336.2198399999997</v>
      </c>
      <c r="C27">
        <v>37344.879359999999</v>
      </c>
      <c r="D27">
        <v>0</v>
      </c>
      <c r="E27">
        <v>0</v>
      </c>
      <c r="F27">
        <v>0</v>
      </c>
      <c r="G27">
        <v>23340.549599999998</v>
      </c>
      <c r="H27">
        <v>18672.439679999999</v>
      </c>
      <c r="I27">
        <v>37344.879359999999</v>
      </c>
      <c r="J27">
        <v>28008.659520000001</v>
      </c>
      <c r="K27">
        <v>23340.549599999998</v>
      </c>
      <c r="L27">
        <v>0</v>
      </c>
      <c r="M27">
        <v>9336.2198399999997</v>
      </c>
      <c r="N27">
        <v>0</v>
      </c>
      <c r="O27">
        <v>0</v>
      </c>
      <c r="P27">
        <v>0</v>
      </c>
      <c r="Q27">
        <v>14004.329760000001</v>
      </c>
      <c r="R27">
        <v>18672.439679999999</v>
      </c>
      <c r="S27">
        <v>0</v>
      </c>
      <c r="T27">
        <v>18672.439679999999</v>
      </c>
      <c r="U27">
        <v>23340.549599999998</v>
      </c>
      <c r="V27">
        <v>0</v>
      </c>
      <c r="W27">
        <v>9336.2198399999997</v>
      </c>
      <c r="X27">
        <v>0</v>
      </c>
      <c r="Y27">
        <v>0</v>
      </c>
      <c r="Z27" t="s">
        <v>455</v>
      </c>
      <c r="AA27" t="s">
        <v>456</v>
      </c>
    </row>
    <row r="28" spans="1:27">
      <c r="A28">
        <v>0</v>
      </c>
      <c r="B28">
        <v>0</v>
      </c>
      <c r="C28">
        <v>0</v>
      </c>
      <c r="D28">
        <v>0</v>
      </c>
      <c r="E28">
        <v>2919.9633600000002</v>
      </c>
      <c r="F28">
        <v>0</v>
      </c>
      <c r="G28">
        <v>29199.633600000001</v>
      </c>
      <c r="H28">
        <v>0</v>
      </c>
      <c r="I28">
        <v>29199.633600000001</v>
      </c>
      <c r="J28">
        <v>0</v>
      </c>
      <c r="K28">
        <v>17519.780160000002</v>
      </c>
      <c r="L28">
        <v>29199.633600000001</v>
      </c>
      <c r="M28">
        <v>29199.633600000001</v>
      </c>
      <c r="N28">
        <v>29199.633600000001</v>
      </c>
      <c r="O28">
        <v>26279.670240000003</v>
      </c>
      <c r="P28">
        <v>72999.084000000003</v>
      </c>
      <c r="Q28">
        <v>58399.267200000002</v>
      </c>
      <c r="R28">
        <v>14599.816800000001</v>
      </c>
      <c r="S28">
        <v>116798.5344</v>
      </c>
      <c r="T28">
        <v>29199.633600000001</v>
      </c>
      <c r="U28">
        <v>58399.267200000002</v>
      </c>
      <c r="V28">
        <v>43799.450400000002</v>
      </c>
      <c r="W28">
        <v>29199.633600000001</v>
      </c>
      <c r="X28">
        <v>43799.450400000002</v>
      </c>
      <c r="Y28">
        <v>87598.900800000003</v>
      </c>
      <c r="Z28" t="s">
        <v>455</v>
      </c>
      <c r="AA28" t="s">
        <v>456</v>
      </c>
    </row>
    <row r="29" spans="1:27">
      <c r="A29">
        <v>0</v>
      </c>
      <c r="B29">
        <v>0</v>
      </c>
      <c r="C29">
        <v>0</v>
      </c>
      <c r="D29">
        <v>0</v>
      </c>
      <c r="E29">
        <v>0</v>
      </c>
      <c r="F29">
        <v>0</v>
      </c>
      <c r="G29">
        <v>11943.63531</v>
      </c>
      <c r="H29">
        <v>0</v>
      </c>
      <c r="I29">
        <v>11943.63531</v>
      </c>
      <c r="J29">
        <v>11943.63531</v>
      </c>
      <c r="K29">
        <v>11943.63531</v>
      </c>
      <c r="L29">
        <v>0</v>
      </c>
      <c r="M29">
        <v>7962.4235399999998</v>
      </c>
      <c r="N29">
        <v>11943.63531</v>
      </c>
      <c r="O29">
        <v>11943.63531</v>
      </c>
      <c r="P29">
        <v>0</v>
      </c>
      <c r="Q29">
        <v>11943.63531</v>
      </c>
      <c r="R29">
        <v>19906.058850000001</v>
      </c>
      <c r="S29">
        <v>0</v>
      </c>
      <c r="T29">
        <v>7962.4235399999998</v>
      </c>
      <c r="U29">
        <v>19906.058850000001</v>
      </c>
      <c r="V29">
        <v>0</v>
      </c>
      <c r="W29">
        <v>11943.63531</v>
      </c>
      <c r="X29">
        <v>0</v>
      </c>
      <c r="Y29">
        <v>0</v>
      </c>
      <c r="Z29" t="s">
        <v>461</v>
      </c>
      <c r="AA29" t="s">
        <v>462</v>
      </c>
    </row>
    <row r="30" spans="1:27">
      <c r="A30">
        <v>0</v>
      </c>
      <c r="B30">
        <v>0</v>
      </c>
      <c r="C30">
        <v>0</v>
      </c>
      <c r="D30">
        <v>0</v>
      </c>
      <c r="E30">
        <v>0</v>
      </c>
      <c r="F30">
        <v>0</v>
      </c>
      <c r="G30">
        <v>0</v>
      </c>
      <c r="H30">
        <v>0</v>
      </c>
      <c r="I30">
        <v>0</v>
      </c>
      <c r="J30">
        <v>0</v>
      </c>
      <c r="K30">
        <v>0</v>
      </c>
      <c r="L30">
        <v>0</v>
      </c>
      <c r="M30">
        <v>0</v>
      </c>
      <c r="N30">
        <v>0</v>
      </c>
      <c r="O30">
        <v>0</v>
      </c>
      <c r="P30">
        <v>49379.94816</v>
      </c>
      <c r="Q30">
        <v>0</v>
      </c>
      <c r="R30">
        <v>0</v>
      </c>
      <c r="S30">
        <v>0</v>
      </c>
      <c r="T30">
        <v>0</v>
      </c>
      <c r="U30">
        <v>0</v>
      </c>
      <c r="V30">
        <v>24689.97408</v>
      </c>
      <c r="W30">
        <v>0</v>
      </c>
      <c r="X30">
        <v>24689.97408</v>
      </c>
      <c r="Y30">
        <v>49379.94816</v>
      </c>
      <c r="Z30" t="s">
        <v>574</v>
      </c>
      <c r="AA30" t="s">
        <v>575</v>
      </c>
    </row>
    <row r="31" spans="1:27">
      <c r="A31">
        <v>37957.822800000002</v>
      </c>
      <c r="B31">
        <v>15183.12912</v>
      </c>
      <c r="C31">
        <v>0</v>
      </c>
      <c r="D31">
        <v>0</v>
      </c>
      <c r="E31">
        <v>0</v>
      </c>
      <c r="F31">
        <v>0</v>
      </c>
      <c r="G31">
        <v>0</v>
      </c>
      <c r="H31">
        <v>3795.7822799999999</v>
      </c>
      <c r="I31">
        <v>7591.5645599999998</v>
      </c>
      <c r="J31">
        <v>15183.12912</v>
      </c>
      <c r="K31">
        <v>0</v>
      </c>
      <c r="L31">
        <v>3795.7822799999999</v>
      </c>
      <c r="M31">
        <v>7591.5645599999998</v>
      </c>
      <c r="N31">
        <v>3795.7822799999999</v>
      </c>
      <c r="O31">
        <v>7591.5645599999998</v>
      </c>
      <c r="P31">
        <v>9489.4557000000004</v>
      </c>
      <c r="Q31">
        <v>7591.5645599999998</v>
      </c>
      <c r="R31">
        <v>7591.5645599999998</v>
      </c>
      <c r="S31">
        <v>0</v>
      </c>
      <c r="T31">
        <v>0</v>
      </c>
      <c r="U31">
        <v>11387.34684</v>
      </c>
      <c r="V31">
        <v>9489.4557000000004</v>
      </c>
      <c r="W31">
        <v>3795.7822799999999</v>
      </c>
      <c r="X31">
        <v>9489.4557000000004</v>
      </c>
      <c r="Y31">
        <v>3795.7822799999999</v>
      </c>
      <c r="Z31" t="s">
        <v>510</v>
      </c>
      <c r="AA31" t="s">
        <v>511</v>
      </c>
    </row>
    <row r="32" spans="1:27">
      <c r="A32">
        <v>0</v>
      </c>
      <c r="B32">
        <v>0</v>
      </c>
      <c r="C32">
        <v>0</v>
      </c>
      <c r="D32">
        <v>0</v>
      </c>
      <c r="E32">
        <v>0</v>
      </c>
      <c r="F32">
        <v>0</v>
      </c>
      <c r="G32">
        <v>0</v>
      </c>
      <c r="H32">
        <v>0</v>
      </c>
      <c r="I32">
        <v>0</v>
      </c>
      <c r="J32">
        <v>0</v>
      </c>
      <c r="K32">
        <v>0</v>
      </c>
      <c r="L32">
        <v>0</v>
      </c>
      <c r="M32">
        <v>0</v>
      </c>
      <c r="N32">
        <v>0</v>
      </c>
      <c r="O32">
        <v>0</v>
      </c>
      <c r="P32">
        <v>4048.8329400000002</v>
      </c>
      <c r="Q32">
        <v>0</v>
      </c>
      <c r="R32">
        <v>0</v>
      </c>
      <c r="S32">
        <v>0</v>
      </c>
      <c r="T32">
        <v>0</v>
      </c>
      <c r="U32">
        <v>0</v>
      </c>
      <c r="V32">
        <v>0</v>
      </c>
      <c r="W32">
        <v>0</v>
      </c>
      <c r="X32">
        <v>0</v>
      </c>
      <c r="Y32">
        <v>0</v>
      </c>
      <c r="Z32" t="s">
        <v>510</v>
      </c>
      <c r="AA32" t="s">
        <v>511</v>
      </c>
    </row>
    <row r="33" spans="1:27">
      <c r="A33">
        <v>0</v>
      </c>
      <c r="B33">
        <v>0</v>
      </c>
      <c r="C33">
        <v>0</v>
      </c>
      <c r="D33">
        <v>0</v>
      </c>
      <c r="E33">
        <v>0</v>
      </c>
      <c r="F33">
        <v>0</v>
      </c>
      <c r="G33">
        <v>0</v>
      </c>
      <c r="H33">
        <v>0</v>
      </c>
      <c r="I33">
        <v>0</v>
      </c>
      <c r="J33">
        <v>0</v>
      </c>
      <c r="K33">
        <v>0</v>
      </c>
      <c r="L33">
        <v>0</v>
      </c>
      <c r="M33">
        <v>0</v>
      </c>
      <c r="N33">
        <v>0</v>
      </c>
      <c r="O33">
        <v>0</v>
      </c>
      <c r="P33">
        <v>0</v>
      </c>
      <c r="Q33">
        <v>0</v>
      </c>
      <c r="R33">
        <v>0</v>
      </c>
      <c r="S33">
        <v>0</v>
      </c>
      <c r="T33">
        <v>24302.218200000003</v>
      </c>
      <c r="U33">
        <v>14581.33092</v>
      </c>
      <c r="V33">
        <v>12151.109100000001</v>
      </c>
      <c r="W33">
        <v>0</v>
      </c>
      <c r="X33">
        <v>12151.109100000001</v>
      </c>
      <c r="Y33">
        <v>0</v>
      </c>
      <c r="Z33" t="s">
        <v>510</v>
      </c>
      <c r="AA33" t="s">
        <v>511</v>
      </c>
    </row>
    <row r="34" spans="1:27">
      <c r="A34">
        <v>0</v>
      </c>
      <c r="B34">
        <v>0</v>
      </c>
      <c r="C34">
        <v>0</v>
      </c>
      <c r="D34">
        <v>0</v>
      </c>
      <c r="E34">
        <v>0</v>
      </c>
      <c r="F34">
        <v>0</v>
      </c>
      <c r="G34">
        <v>0</v>
      </c>
      <c r="H34">
        <v>0</v>
      </c>
      <c r="I34">
        <v>0</v>
      </c>
      <c r="J34">
        <v>0</v>
      </c>
      <c r="K34">
        <v>0</v>
      </c>
      <c r="L34">
        <v>0</v>
      </c>
      <c r="M34">
        <v>0</v>
      </c>
      <c r="N34">
        <v>0</v>
      </c>
      <c r="O34">
        <v>0</v>
      </c>
      <c r="P34">
        <v>0</v>
      </c>
      <c r="Q34">
        <v>0</v>
      </c>
      <c r="R34">
        <v>0</v>
      </c>
      <c r="S34">
        <v>0</v>
      </c>
      <c r="T34">
        <v>0</v>
      </c>
      <c r="U34">
        <v>14581.33092</v>
      </c>
      <c r="V34">
        <v>12151.109100000001</v>
      </c>
      <c r="W34">
        <v>0</v>
      </c>
      <c r="X34">
        <v>12151.109100000001</v>
      </c>
      <c r="Y34">
        <v>0</v>
      </c>
      <c r="Z34" t="s">
        <v>510</v>
      </c>
      <c r="AA34" t="s">
        <v>511</v>
      </c>
    </row>
    <row r="35" spans="1:27">
      <c r="A35">
        <v>6026.8221000000003</v>
      </c>
      <c r="B35">
        <v>0</v>
      </c>
      <c r="C35">
        <v>4821.4576800000004</v>
      </c>
      <c r="D35">
        <v>0</v>
      </c>
      <c r="E35">
        <v>0</v>
      </c>
      <c r="F35">
        <v>3013.4110500000002</v>
      </c>
      <c r="G35">
        <v>4821.4576800000004</v>
      </c>
      <c r="H35">
        <v>3013.4110500000002</v>
      </c>
      <c r="I35">
        <v>4821.4576800000004</v>
      </c>
      <c r="J35">
        <v>3013.4110500000002</v>
      </c>
      <c r="K35">
        <v>0</v>
      </c>
      <c r="L35">
        <v>6026.8221000000003</v>
      </c>
      <c r="M35">
        <v>2410.7288400000002</v>
      </c>
      <c r="N35">
        <v>2410.7288400000002</v>
      </c>
      <c r="O35">
        <v>2410.7288400000002</v>
      </c>
      <c r="P35">
        <v>4821.4576800000004</v>
      </c>
      <c r="Q35">
        <v>2410.7288400000002</v>
      </c>
      <c r="R35">
        <v>1205.3644200000001</v>
      </c>
      <c r="S35">
        <v>3616.0932600000006</v>
      </c>
      <c r="T35">
        <v>6026.8221000000003</v>
      </c>
      <c r="U35">
        <v>1205.3644200000001</v>
      </c>
      <c r="V35">
        <v>0</v>
      </c>
      <c r="W35">
        <v>3013.4110500000002</v>
      </c>
      <c r="X35">
        <v>0</v>
      </c>
      <c r="Y35">
        <v>0</v>
      </c>
      <c r="Z35" t="s">
        <v>503</v>
      </c>
      <c r="AA35" t="s">
        <v>504</v>
      </c>
    </row>
    <row r="36" spans="1:27">
      <c r="A36">
        <v>7577.7560999999996</v>
      </c>
      <c r="B36">
        <v>2020.73496</v>
      </c>
      <c r="C36">
        <v>505.18374</v>
      </c>
      <c r="D36">
        <v>0</v>
      </c>
      <c r="E36">
        <v>0</v>
      </c>
      <c r="F36">
        <v>0</v>
      </c>
      <c r="G36">
        <v>0</v>
      </c>
      <c r="H36">
        <v>505.18374</v>
      </c>
      <c r="I36">
        <v>505.18374</v>
      </c>
      <c r="J36">
        <v>505.18374</v>
      </c>
      <c r="K36">
        <v>1262.9593500000001</v>
      </c>
      <c r="L36">
        <v>0</v>
      </c>
      <c r="M36">
        <v>505.18374</v>
      </c>
      <c r="N36">
        <v>505.18374</v>
      </c>
      <c r="O36">
        <v>505.18374</v>
      </c>
      <c r="P36">
        <v>0</v>
      </c>
      <c r="Q36">
        <v>0</v>
      </c>
      <c r="R36">
        <v>0</v>
      </c>
      <c r="S36">
        <v>0</v>
      </c>
      <c r="T36">
        <v>2525.9187000000002</v>
      </c>
      <c r="U36">
        <v>1768.14309</v>
      </c>
      <c r="V36">
        <v>2020.73496</v>
      </c>
      <c r="W36">
        <v>2525.9187000000002</v>
      </c>
      <c r="X36">
        <v>2020.73496</v>
      </c>
      <c r="Y36">
        <v>1010.36748</v>
      </c>
      <c r="Z36" t="s">
        <v>503</v>
      </c>
      <c r="AA36" t="s">
        <v>504</v>
      </c>
    </row>
    <row r="37" spans="1:27">
      <c r="A37">
        <v>7577.7560999999996</v>
      </c>
      <c r="B37">
        <v>2020.73496</v>
      </c>
      <c r="C37">
        <v>2020.73496</v>
      </c>
      <c r="D37">
        <v>0</v>
      </c>
      <c r="E37">
        <v>0</v>
      </c>
      <c r="F37">
        <v>0</v>
      </c>
      <c r="G37">
        <v>2020.73496</v>
      </c>
      <c r="H37">
        <v>0</v>
      </c>
      <c r="I37">
        <v>2020.73496</v>
      </c>
      <c r="J37">
        <v>1010.36748</v>
      </c>
      <c r="K37">
        <v>757.77561000000003</v>
      </c>
      <c r="L37">
        <v>0</v>
      </c>
      <c r="M37">
        <v>1010.36748</v>
      </c>
      <c r="N37">
        <v>1010.36748</v>
      </c>
      <c r="O37">
        <v>1010.36748</v>
      </c>
      <c r="P37">
        <v>0</v>
      </c>
      <c r="Q37">
        <v>0</v>
      </c>
      <c r="R37">
        <v>0</v>
      </c>
      <c r="S37">
        <v>5051.8374000000003</v>
      </c>
      <c r="T37">
        <v>0</v>
      </c>
      <c r="U37">
        <v>505.18374</v>
      </c>
      <c r="V37">
        <v>2525.9187000000002</v>
      </c>
      <c r="W37">
        <v>2525.9187000000002</v>
      </c>
      <c r="X37">
        <v>2525.9187000000002</v>
      </c>
      <c r="Y37">
        <v>0</v>
      </c>
      <c r="Z37" t="s">
        <v>503</v>
      </c>
      <c r="AA37" t="s">
        <v>504</v>
      </c>
    </row>
    <row r="38" spans="1:27">
      <c r="A38">
        <v>4234.5198</v>
      </c>
      <c r="B38">
        <v>1693.80792</v>
      </c>
      <c r="C38">
        <v>1693.80792</v>
      </c>
      <c r="D38">
        <v>0</v>
      </c>
      <c r="E38">
        <v>211.72599</v>
      </c>
      <c r="F38">
        <v>0</v>
      </c>
      <c r="G38">
        <v>1693.80792</v>
      </c>
      <c r="H38">
        <v>0</v>
      </c>
      <c r="I38">
        <v>1693.80792</v>
      </c>
      <c r="J38">
        <v>846.90395999999998</v>
      </c>
      <c r="K38">
        <v>0</v>
      </c>
      <c r="L38">
        <v>0</v>
      </c>
      <c r="M38">
        <v>211.72599</v>
      </c>
      <c r="N38">
        <v>846.90395999999998</v>
      </c>
      <c r="O38">
        <v>846.90395999999998</v>
      </c>
      <c r="P38">
        <v>0</v>
      </c>
      <c r="Q38">
        <v>846.90395999999998</v>
      </c>
      <c r="R38">
        <v>0</v>
      </c>
      <c r="S38">
        <v>0</v>
      </c>
      <c r="T38">
        <v>2117.2599</v>
      </c>
      <c r="U38">
        <v>423.45197999999999</v>
      </c>
      <c r="V38">
        <v>0</v>
      </c>
      <c r="W38">
        <v>1058.62995</v>
      </c>
      <c r="X38">
        <v>0</v>
      </c>
      <c r="Y38">
        <v>635.17796999999996</v>
      </c>
      <c r="Z38" t="s">
        <v>503</v>
      </c>
      <c r="AA38" t="s">
        <v>504</v>
      </c>
    </row>
    <row r="39" spans="1:27">
      <c r="A39">
        <v>0</v>
      </c>
      <c r="B39">
        <v>388.15871999999996</v>
      </c>
      <c r="C39">
        <v>388.15871999999996</v>
      </c>
      <c r="D39">
        <v>0</v>
      </c>
      <c r="E39">
        <v>194.07935999999998</v>
      </c>
      <c r="F39">
        <v>0</v>
      </c>
      <c r="G39">
        <v>388.15871999999996</v>
      </c>
      <c r="H39">
        <v>0</v>
      </c>
      <c r="I39">
        <v>388.15871999999996</v>
      </c>
      <c r="J39">
        <v>388.15871999999996</v>
      </c>
      <c r="K39">
        <v>1358.5555199999999</v>
      </c>
      <c r="L39">
        <v>0</v>
      </c>
      <c r="M39">
        <v>388.15871999999996</v>
      </c>
      <c r="N39">
        <v>388.15871999999996</v>
      </c>
      <c r="O39">
        <v>388.15871999999996</v>
      </c>
      <c r="P39">
        <v>0</v>
      </c>
      <c r="Q39">
        <v>0</v>
      </c>
      <c r="R39">
        <v>0</v>
      </c>
      <c r="S39">
        <v>0</v>
      </c>
      <c r="T39">
        <v>0</v>
      </c>
      <c r="U39">
        <v>388.15871999999996</v>
      </c>
      <c r="V39">
        <v>0</v>
      </c>
      <c r="W39">
        <v>0</v>
      </c>
      <c r="X39">
        <v>0</v>
      </c>
      <c r="Y39">
        <v>0</v>
      </c>
      <c r="Z39" t="s">
        <v>503</v>
      </c>
      <c r="AA39" t="s">
        <v>504</v>
      </c>
    </row>
    <row r="40" spans="1:27">
      <c r="A40">
        <v>34851.366900000001</v>
      </c>
      <c r="B40">
        <v>4646.8489200000004</v>
      </c>
      <c r="C40">
        <v>4646.8489200000004</v>
      </c>
      <c r="D40">
        <v>0</v>
      </c>
      <c r="E40">
        <v>13940.546760000001</v>
      </c>
      <c r="F40">
        <v>4646.8489200000004</v>
      </c>
      <c r="G40">
        <v>4646.8489200000004</v>
      </c>
      <c r="H40">
        <v>4646.8489200000004</v>
      </c>
      <c r="I40">
        <v>4646.8489200000004</v>
      </c>
      <c r="J40">
        <v>4646.8489200000004</v>
      </c>
      <c r="K40">
        <v>9293.6978400000007</v>
      </c>
      <c r="L40">
        <v>0</v>
      </c>
      <c r="M40">
        <v>2323.4244600000002</v>
      </c>
      <c r="N40">
        <v>4646.8489200000004</v>
      </c>
      <c r="O40">
        <v>4646.8489200000004</v>
      </c>
      <c r="P40">
        <v>13940.546760000001</v>
      </c>
      <c r="Q40">
        <v>4646.8489200000004</v>
      </c>
      <c r="R40">
        <v>2323.4244600000002</v>
      </c>
      <c r="S40">
        <v>0</v>
      </c>
      <c r="T40">
        <v>0</v>
      </c>
      <c r="U40">
        <v>0</v>
      </c>
      <c r="V40">
        <v>23234.244600000002</v>
      </c>
      <c r="W40">
        <v>3485.1366900000003</v>
      </c>
      <c r="X40">
        <v>23234.244600000002</v>
      </c>
      <c r="Y40">
        <v>0</v>
      </c>
      <c r="Z40" t="s">
        <v>490</v>
      </c>
      <c r="AA40" t="s">
        <v>491</v>
      </c>
    </row>
    <row r="41" spans="1:27">
      <c r="A41">
        <v>28694.740800000003</v>
      </c>
      <c r="B41">
        <v>2869.4740800000004</v>
      </c>
      <c r="C41">
        <v>2869.4740800000004</v>
      </c>
      <c r="D41">
        <v>0</v>
      </c>
      <c r="E41">
        <v>0</v>
      </c>
      <c r="F41">
        <v>0</v>
      </c>
      <c r="G41">
        <v>0</v>
      </c>
      <c r="H41">
        <v>2869.4740800000004</v>
      </c>
      <c r="I41">
        <v>2869.4740800000004</v>
      </c>
      <c r="J41">
        <v>2869.4740800000004</v>
      </c>
      <c r="K41">
        <v>11477.896320000002</v>
      </c>
      <c r="L41">
        <v>0</v>
      </c>
      <c r="M41">
        <v>2869.4740800000004</v>
      </c>
      <c r="N41">
        <v>2869.4740800000004</v>
      </c>
      <c r="O41">
        <v>2869.4740800000004</v>
      </c>
      <c r="P41">
        <v>14347.370400000002</v>
      </c>
      <c r="Q41">
        <v>2869.4740800000004</v>
      </c>
      <c r="R41">
        <v>2869.4740800000004</v>
      </c>
      <c r="S41">
        <v>0</v>
      </c>
      <c r="T41">
        <v>0</v>
      </c>
      <c r="U41">
        <v>0</v>
      </c>
      <c r="V41">
        <v>8608.4222400000017</v>
      </c>
      <c r="W41">
        <v>0</v>
      </c>
      <c r="X41">
        <v>8608.4222400000017</v>
      </c>
      <c r="Y41">
        <v>0</v>
      </c>
      <c r="Z41" t="s">
        <v>490</v>
      </c>
      <c r="AA41" t="s">
        <v>491</v>
      </c>
    </row>
    <row r="42" spans="1:27">
      <c r="A42">
        <v>0</v>
      </c>
      <c r="B42">
        <v>0</v>
      </c>
      <c r="C42">
        <v>0</v>
      </c>
      <c r="D42">
        <v>0</v>
      </c>
      <c r="E42">
        <v>0</v>
      </c>
      <c r="F42">
        <v>0</v>
      </c>
      <c r="G42">
        <v>0</v>
      </c>
      <c r="H42">
        <v>0</v>
      </c>
      <c r="I42">
        <v>0</v>
      </c>
      <c r="J42">
        <v>0</v>
      </c>
      <c r="K42">
        <v>11477.896320000002</v>
      </c>
      <c r="L42">
        <v>0</v>
      </c>
      <c r="M42">
        <v>0</v>
      </c>
      <c r="N42">
        <v>0</v>
      </c>
      <c r="O42">
        <v>0</v>
      </c>
      <c r="P42">
        <v>0</v>
      </c>
      <c r="Q42">
        <v>0</v>
      </c>
      <c r="R42">
        <v>2869.4740800000004</v>
      </c>
      <c r="S42">
        <v>0</v>
      </c>
      <c r="T42">
        <v>0</v>
      </c>
      <c r="U42">
        <v>5738.9481600000008</v>
      </c>
      <c r="V42">
        <v>14347.370400000002</v>
      </c>
      <c r="W42">
        <v>0</v>
      </c>
      <c r="X42">
        <v>14347.370400000002</v>
      </c>
      <c r="Y42">
        <v>4304.2111200000008</v>
      </c>
      <c r="Z42" t="s">
        <v>490</v>
      </c>
      <c r="AA42" t="s">
        <v>491</v>
      </c>
    </row>
    <row r="43" spans="1:27">
      <c r="A43">
        <v>0</v>
      </c>
      <c r="B43">
        <v>0</v>
      </c>
      <c r="C43">
        <v>0</v>
      </c>
      <c r="D43">
        <v>0</v>
      </c>
      <c r="E43">
        <v>0</v>
      </c>
      <c r="F43">
        <v>0</v>
      </c>
      <c r="G43">
        <v>0</v>
      </c>
      <c r="H43">
        <v>0</v>
      </c>
      <c r="I43">
        <v>0</v>
      </c>
      <c r="J43">
        <v>0</v>
      </c>
      <c r="K43">
        <v>9293.6978400000007</v>
      </c>
      <c r="L43">
        <v>0</v>
      </c>
      <c r="M43">
        <v>0</v>
      </c>
      <c r="N43">
        <v>0</v>
      </c>
      <c r="O43">
        <v>0</v>
      </c>
      <c r="P43">
        <v>0</v>
      </c>
      <c r="Q43">
        <v>0</v>
      </c>
      <c r="R43">
        <v>0</v>
      </c>
      <c r="S43">
        <v>0</v>
      </c>
      <c r="T43">
        <v>0</v>
      </c>
      <c r="U43">
        <v>0</v>
      </c>
      <c r="V43">
        <v>0</v>
      </c>
      <c r="W43">
        <v>0</v>
      </c>
      <c r="X43">
        <v>0</v>
      </c>
      <c r="Y43">
        <v>0</v>
      </c>
      <c r="Z43" t="s">
        <v>490</v>
      </c>
      <c r="AA43" t="s">
        <v>491</v>
      </c>
    </row>
    <row r="44" spans="1:27">
      <c r="A44">
        <v>0</v>
      </c>
      <c r="B44">
        <v>0</v>
      </c>
      <c r="C44">
        <v>0</v>
      </c>
      <c r="D44">
        <v>0</v>
      </c>
      <c r="E44">
        <v>0</v>
      </c>
      <c r="F44">
        <v>0</v>
      </c>
      <c r="G44">
        <v>0</v>
      </c>
      <c r="H44">
        <v>0</v>
      </c>
      <c r="I44">
        <v>0</v>
      </c>
      <c r="J44">
        <v>0</v>
      </c>
      <c r="K44">
        <v>2323.4244600000002</v>
      </c>
      <c r="L44">
        <v>0</v>
      </c>
      <c r="M44">
        <v>0</v>
      </c>
      <c r="N44">
        <v>0</v>
      </c>
      <c r="O44">
        <v>0</v>
      </c>
      <c r="P44">
        <v>0</v>
      </c>
      <c r="Q44">
        <v>0</v>
      </c>
      <c r="R44">
        <v>0</v>
      </c>
      <c r="S44">
        <v>0</v>
      </c>
      <c r="T44">
        <v>0</v>
      </c>
      <c r="U44">
        <v>5808.5611500000005</v>
      </c>
      <c r="V44">
        <v>0</v>
      </c>
      <c r="W44">
        <v>0</v>
      </c>
      <c r="X44">
        <v>0</v>
      </c>
      <c r="Y44">
        <v>0</v>
      </c>
      <c r="Z44" t="s">
        <v>490</v>
      </c>
      <c r="AA44" t="s">
        <v>491</v>
      </c>
    </row>
    <row r="45" spans="1:27">
      <c r="A45">
        <v>40351.811399999999</v>
      </c>
      <c r="B45">
        <v>13450.603799999999</v>
      </c>
      <c r="C45">
        <v>0</v>
      </c>
      <c r="D45">
        <v>0</v>
      </c>
      <c r="E45">
        <v>16140.724559999999</v>
      </c>
      <c r="F45">
        <v>10760.483039999999</v>
      </c>
      <c r="G45">
        <v>10760.483039999999</v>
      </c>
      <c r="H45">
        <v>0</v>
      </c>
      <c r="I45">
        <v>10760.483039999999</v>
      </c>
      <c r="J45">
        <v>10760.483039999999</v>
      </c>
      <c r="K45">
        <v>10760.483039999999</v>
      </c>
      <c r="L45">
        <v>0</v>
      </c>
      <c r="M45">
        <v>4035.1811399999997</v>
      </c>
      <c r="N45">
        <v>2690.1207599999998</v>
      </c>
      <c r="O45">
        <v>5380.2415199999996</v>
      </c>
      <c r="P45">
        <v>0</v>
      </c>
      <c r="Q45">
        <v>5380.2415199999996</v>
      </c>
      <c r="R45">
        <v>8070.3622799999994</v>
      </c>
      <c r="S45">
        <v>0</v>
      </c>
      <c r="T45">
        <v>0</v>
      </c>
      <c r="U45">
        <v>8070.3622799999994</v>
      </c>
      <c r="V45">
        <v>0</v>
      </c>
      <c r="W45">
        <v>2690.1207599999998</v>
      </c>
      <c r="X45">
        <v>0</v>
      </c>
      <c r="Y45">
        <v>0</v>
      </c>
      <c r="Z45" t="s">
        <v>490</v>
      </c>
      <c r="AA45" t="s">
        <v>491</v>
      </c>
    </row>
    <row r="46" spans="1:27">
      <c r="A46">
        <v>28694.740800000003</v>
      </c>
      <c r="B46">
        <v>7173.6852000000008</v>
      </c>
      <c r="C46">
        <v>0</v>
      </c>
      <c r="D46">
        <v>0</v>
      </c>
      <c r="E46">
        <v>22955.792640000003</v>
      </c>
      <c r="F46">
        <v>11477.896320000002</v>
      </c>
      <c r="G46">
        <v>11477.896320000002</v>
      </c>
      <c r="H46">
        <v>0</v>
      </c>
      <c r="I46">
        <v>11477.896320000002</v>
      </c>
      <c r="J46">
        <v>0</v>
      </c>
      <c r="K46">
        <v>11477.896320000002</v>
      </c>
      <c r="L46">
        <v>0</v>
      </c>
      <c r="M46">
        <v>4304.2111200000008</v>
      </c>
      <c r="N46">
        <v>2869.4740800000004</v>
      </c>
      <c r="O46">
        <v>5738.9481600000008</v>
      </c>
      <c r="P46">
        <v>0</v>
      </c>
      <c r="Q46">
        <v>5738.9481600000008</v>
      </c>
      <c r="R46">
        <v>0</v>
      </c>
      <c r="S46">
        <v>0</v>
      </c>
      <c r="T46">
        <v>0</v>
      </c>
      <c r="U46">
        <v>10043.159280000002</v>
      </c>
      <c r="V46">
        <v>4304.2111200000008</v>
      </c>
      <c r="W46">
        <v>2869.4740800000004</v>
      </c>
      <c r="X46">
        <v>4304.2111200000008</v>
      </c>
      <c r="Y46">
        <v>0</v>
      </c>
      <c r="Z46" t="s">
        <v>490</v>
      </c>
      <c r="AA46" t="s">
        <v>491</v>
      </c>
    </row>
    <row r="47" spans="1:27">
      <c r="A47">
        <v>229313.76060000004</v>
      </c>
      <c r="B47">
        <v>57328.440150000009</v>
      </c>
      <c r="C47">
        <v>57328.440150000009</v>
      </c>
      <c r="D47">
        <v>0</v>
      </c>
      <c r="E47">
        <v>0</v>
      </c>
      <c r="F47">
        <v>0</v>
      </c>
      <c r="G47">
        <v>57328.440150000009</v>
      </c>
      <c r="H47">
        <v>57328.440150000009</v>
      </c>
      <c r="I47">
        <v>22931.376060000002</v>
      </c>
      <c r="J47">
        <v>0</v>
      </c>
      <c r="K47">
        <v>0</v>
      </c>
      <c r="L47">
        <v>0</v>
      </c>
      <c r="M47">
        <v>0</v>
      </c>
      <c r="N47">
        <v>0</v>
      </c>
      <c r="O47">
        <v>57328.440150000009</v>
      </c>
      <c r="P47">
        <v>0</v>
      </c>
      <c r="Q47">
        <v>22931.376060000002</v>
      </c>
      <c r="R47">
        <v>34397.06409</v>
      </c>
      <c r="S47">
        <v>0</v>
      </c>
      <c r="T47">
        <v>57328.440150000009</v>
      </c>
      <c r="U47">
        <v>57328.440150000009</v>
      </c>
      <c r="V47">
        <v>114656.88030000002</v>
      </c>
      <c r="W47">
        <v>0</v>
      </c>
      <c r="X47">
        <v>114656.88030000002</v>
      </c>
      <c r="Y47">
        <v>0</v>
      </c>
      <c r="Z47" t="s">
        <v>490</v>
      </c>
      <c r="AA47" t="s">
        <v>491</v>
      </c>
    </row>
    <row r="48" spans="1:27">
      <c r="A48">
        <v>229313.76060000004</v>
      </c>
      <c r="B48">
        <v>57328.440150000009</v>
      </c>
      <c r="C48">
        <v>57328.440150000009</v>
      </c>
      <c r="D48">
        <v>0</v>
      </c>
      <c r="E48">
        <v>0</v>
      </c>
      <c r="F48">
        <v>0</v>
      </c>
      <c r="G48">
        <v>57328.440150000009</v>
      </c>
      <c r="H48">
        <v>0</v>
      </c>
      <c r="I48">
        <v>22931.376060000002</v>
      </c>
      <c r="J48">
        <v>0</v>
      </c>
      <c r="K48">
        <v>0</v>
      </c>
      <c r="L48">
        <v>0</v>
      </c>
      <c r="M48">
        <v>0</v>
      </c>
      <c r="N48">
        <v>0</v>
      </c>
      <c r="O48">
        <v>57328.440150000009</v>
      </c>
      <c r="P48">
        <v>0</v>
      </c>
      <c r="Q48">
        <v>22931.376060000002</v>
      </c>
      <c r="R48">
        <v>0</v>
      </c>
      <c r="S48">
        <v>0</v>
      </c>
      <c r="T48">
        <v>57328.440150000009</v>
      </c>
      <c r="U48">
        <v>57328.440150000009</v>
      </c>
      <c r="V48">
        <v>114656.88030000002</v>
      </c>
      <c r="W48">
        <v>0</v>
      </c>
      <c r="X48">
        <v>114656.88030000002</v>
      </c>
      <c r="Y48">
        <v>0</v>
      </c>
      <c r="Z48" t="s">
        <v>490</v>
      </c>
      <c r="AA48" t="s">
        <v>491</v>
      </c>
    </row>
    <row r="49" spans="1:27">
      <c r="A49">
        <v>150335.97150000001</v>
      </c>
      <c r="B49">
        <v>0</v>
      </c>
      <c r="C49">
        <v>0</v>
      </c>
      <c r="D49">
        <v>0</v>
      </c>
      <c r="E49">
        <v>0</v>
      </c>
      <c r="F49">
        <v>0</v>
      </c>
      <c r="G49">
        <v>0</v>
      </c>
      <c r="H49">
        <v>0</v>
      </c>
      <c r="I49">
        <v>0</v>
      </c>
      <c r="J49">
        <v>0</v>
      </c>
      <c r="K49">
        <v>0</v>
      </c>
      <c r="L49">
        <v>0</v>
      </c>
      <c r="M49">
        <v>0</v>
      </c>
      <c r="N49">
        <v>0</v>
      </c>
      <c r="O49">
        <v>0</v>
      </c>
      <c r="P49">
        <v>0</v>
      </c>
      <c r="Q49">
        <v>0</v>
      </c>
      <c r="R49">
        <v>0</v>
      </c>
      <c r="S49">
        <v>0</v>
      </c>
      <c r="T49">
        <v>0</v>
      </c>
      <c r="U49">
        <v>75167.985750000007</v>
      </c>
      <c r="V49">
        <v>45100.791450000004</v>
      </c>
      <c r="W49">
        <v>0</v>
      </c>
      <c r="X49">
        <v>45100.791450000004</v>
      </c>
      <c r="Y49">
        <v>0</v>
      </c>
      <c r="Z49" t="s">
        <v>490</v>
      </c>
      <c r="AA49" t="s">
        <v>491</v>
      </c>
    </row>
    <row r="50" spans="1:27">
      <c r="A50">
        <v>75167.985750000007</v>
      </c>
      <c r="B50">
        <v>0</v>
      </c>
      <c r="C50">
        <v>0</v>
      </c>
      <c r="D50">
        <v>0</v>
      </c>
      <c r="E50">
        <v>0</v>
      </c>
      <c r="F50">
        <v>0</v>
      </c>
      <c r="G50">
        <v>0</v>
      </c>
      <c r="H50">
        <v>0</v>
      </c>
      <c r="I50">
        <v>0</v>
      </c>
      <c r="J50">
        <v>0</v>
      </c>
      <c r="K50">
        <v>0</v>
      </c>
      <c r="L50">
        <v>0</v>
      </c>
      <c r="M50">
        <v>0</v>
      </c>
      <c r="N50">
        <v>0</v>
      </c>
      <c r="O50">
        <v>0</v>
      </c>
      <c r="P50">
        <v>0</v>
      </c>
      <c r="Q50">
        <v>0</v>
      </c>
      <c r="R50">
        <v>0</v>
      </c>
      <c r="S50">
        <v>0</v>
      </c>
      <c r="T50">
        <v>0</v>
      </c>
      <c r="U50">
        <v>75167.985750000007</v>
      </c>
      <c r="V50">
        <v>0</v>
      </c>
      <c r="W50">
        <v>0</v>
      </c>
      <c r="X50">
        <v>0</v>
      </c>
      <c r="Y50">
        <v>0</v>
      </c>
      <c r="Z50" t="s">
        <v>490</v>
      </c>
      <c r="AA50" t="s">
        <v>491</v>
      </c>
    </row>
    <row r="51" spans="1:27">
      <c r="A51">
        <v>0</v>
      </c>
      <c r="B51">
        <v>0</v>
      </c>
      <c r="C51">
        <v>0</v>
      </c>
      <c r="D51">
        <v>0</v>
      </c>
      <c r="E51">
        <v>0</v>
      </c>
      <c r="F51">
        <v>0</v>
      </c>
      <c r="G51">
        <v>0</v>
      </c>
      <c r="H51">
        <v>0</v>
      </c>
      <c r="I51">
        <v>0</v>
      </c>
      <c r="J51">
        <v>0</v>
      </c>
      <c r="K51">
        <v>0</v>
      </c>
      <c r="L51">
        <v>0</v>
      </c>
      <c r="M51">
        <v>0</v>
      </c>
      <c r="N51">
        <v>0</v>
      </c>
      <c r="O51">
        <v>0</v>
      </c>
      <c r="P51">
        <v>0</v>
      </c>
      <c r="Q51">
        <v>0</v>
      </c>
      <c r="R51">
        <v>2189.7039599999998</v>
      </c>
      <c r="S51">
        <v>0</v>
      </c>
      <c r="T51">
        <v>0</v>
      </c>
      <c r="U51">
        <v>0</v>
      </c>
      <c r="V51">
        <v>0</v>
      </c>
      <c r="W51">
        <v>0</v>
      </c>
      <c r="X51">
        <v>0</v>
      </c>
      <c r="Y51">
        <v>0</v>
      </c>
      <c r="Z51" t="s">
        <v>490</v>
      </c>
      <c r="AA51" t="s">
        <v>491</v>
      </c>
    </row>
    <row r="52" spans="1:27">
      <c r="A52">
        <v>0</v>
      </c>
      <c r="B52">
        <v>0</v>
      </c>
      <c r="C52">
        <v>0</v>
      </c>
      <c r="D52">
        <v>0</v>
      </c>
      <c r="E52">
        <v>0</v>
      </c>
      <c r="F52">
        <v>0</v>
      </c>
      <c r="G52">
        <v>0</v>
      </c>
      <c r="H52">
        <v>0</v>
      </c>
      <c r="I52">
        <v>0</v>
      </c>
      <c r="J52">
        <v>0</v>
      </c>
      <c r="K52">
        <v>0</v>
      </c>
      <c r="L52">
        <v>0</v>
      </c>
      <c r="M52">
        <v>0</v>
      </c>
      <c r="N52">
        <v>0</v>
      </c>
      <c r="O52">
        <v>0</v>
      </c>
      <c r="P52">
        <v>0</v>
      </c>
      <c r="Q52">
        <v>0</v>
      </c>
      <c r="R52">
        <v>292031.15927999996</v>
      </c>
      <c r="S52">
        <v>0</v>
      </c>
      <c r="T52">
        <v>0</v>
      </c>
      <c r="U52">
        <v>0</v>
      </c>
      <c r="V52">
        <v>0</v>
      </c>
      <c r="W52">
        <v>0</v>
      </c>
      <c r="X52">
        <v>0</v>
      </c>
      <c r="Y52">
        <v>0</v>
      </c>
      <c r="Z52" t="s">
        <v>490</v>
      </c>
      <c r="AA52" t="s">
        <v>491</v>
      </c>
    </row>
    <row r="53" spans="1:27">
      <c r="A53">
        <v>0</v>
      </c>
      <c r="B53">
        <v>0</v>
      </c>
      <c r="C53">
        <v>0</v>
      </c>
      <c r="D53">
        <v>0</v>
      </c>
      <c r="E53">
        <v>124362.21347999999</v>
      </c>
      <c r="F53">
        <v>0</v>
      </c>
      <c r="G53">
        <v>0</v>
      </c>
      <c r="H53">
        <v>0</v>
      </c>
      <c r="I53">
        <v>0</v>
      </c>
      <c r="J53">
        <v>0</v>
      </c>
      <c r="K53">
        <v>0</v>
      </c>
      <c r="L53">
        <v>0</v>
      </c>
      <c r="M53">
        <v>0</v>
      </c>
      <c r="N53">
        <v>0</v>
      </c>
      <c r="O53">
        <v>0</v>
      </c>
      <c r="P53">
        <v>93271.660109999997</v>
      </c>
      <c r="Q53">
        <v>0</v>
      </c>
      <c r="R53">
        <v>0</v>
      </c>
      <c r="S53">
        <v>0</v>
      </c>
      <c r="T53">
        <v>0</v>
      </c>
      <c r="U53">
        <v>0</v>
      </c>
      <c r="V53">
        <v>0</v>
      </c>
      <c r="W53">
        <v>0</v>
      </c>
      <c r="X53">
        <v>0</v>
      </c>
      <c r="Y53">
        <v>0</v>
      </c>
      <c r="Z53" t="s">
        <v>490</v>
      </c>
      <c r="AA53" t="s">
        <v>491</v>
      </c>
    </row>
    <row r="54" spans="1:27">
      <c r="A54">
        <v>0</v>
      </c>
      <c r="B54">
        <v>0</v>
      </c>
      <c r="C54">
        <v>0</v>
      </c>
      <c r="D54">
        <v>0</v>
      </c>
      <c r="E54">
        <v>0</v>
      </c>
      <c r="F54">
        <v>0</v>
      </c>
      <c r="G54">
        <v>0</v>
      </c>
      <c r="H54">
        <v>0</v>
      </c>
      <c r="I54">
        <v>0</v>
      </c>
      <c r="J54">
        <v>0</v>
      </c>
      <c r="K54">
        <v>0</v>
      </c>
      <c r="L54">
        <v>0</v>
      </c>
      <c r="M54">
        <v>0</v>
      </c>
      <c r="N54">
        <v>0</v>
      </c>
      <c r="O54">
        <v>0</v>
      </c>
      <c r="P54">
        <v>0</v>
      </c>
      <c r="Q54">
        <v>0</v>
      </c>
      <c r="R54">
        <v>16275.70953</v>
      </c>
      <c r="S54">
        <v>0</v>
      </c>
      <c r="T54">
        <v>0</v>
      </c>
      <c r="U54">
        <v>0</v>
      </c>
      <c r="V54">
        <v>0</v>
      </c>
      <c r="W54">
        <v>0</v>
      </c>
      <c r="X54">
        <v>0</v>
      </c>
      <c r="Y54">
        <v>0</v>
      </c>
      <c r="Z54" t="s">
        <v>490</v>
      </c>
      <c r="AA54" t="s">
        <v>491</v>
      </c>
    </row>
    <row r="55" spans="1:27">
      <c r="A55">
        <v>0</v>
      </c>
      <c r="B55">
        <v>0</v>
      </c>
      <c r="C55">
        <v>0</v>
      </c>
      <c r="D55">
        <v>0</v>
      </c>
      <c r="E55">
        <v>0</v>
      </c>
      <c r="F55">
        <v>0</v>
      </c>
      <c r="G55">
        <v>0</v>
      </c>
      <c r="H55">
        <v>0</v>
      </c>
      <c r="I55">
        <v>0</v>
      </c>
      <c r="J55">
        <v>0</v>
      </c>
      <c r="K55">
        <v>0</v>
      </c>
      <c r="L55">
        <v>0</v>
      </c>
      <c r="M55">
        <v>0</v>
      </c>
      <c r="N55">
        <v>0</v>
      </c>
      <c r="O55">
        <v>0</v>
      </c>
      <c r="P55">
        <v>46655.351009999998</v>
      </c>
      <c r="Q55">
        <v>0</v>
      </c>
      <c r="R55">
        <v>0</v>
      </c>
      <c r="S55">
        <v>0</v>
      </c>
      <c r="T55">
        <v>0</v>
      </c>
      <c r="U55">
        <v>0</v>
      </c>
      <c r="V55">
        <v>0</v>
      </c>
      <c r="W55">
        <v>0</v>
      </c>
      <c r="X55">
        <v>0</v>
      </c>
      <c r="Y55">
        <v>0</v>
      </c>
      <c r="Z55" t="s">
        <v>490</v>
      </c>
      <c r="AA55" t="s">
        <v>491</v>
      </c>
    </row>
    <row r="56" spans="1:27">
      <c r="A56">
        <v>0</v>
      </c>
      <c r="B56">
        <v>0</v>
      </c>
      <c r="C56">
        <v>0</v>
      </c>
      <c r="D56">
        <v>0</v>
      </c>
      <c r="E56">
        <v>0</v>
      </c>
      <c r="F56">
        <v>0</v>
      </c>
      <c r="G56">
        <v>0</v>
      </c>
      <c r="H56">
        <v>0</v>
      </c>
      <c r="I56">
        <v>0</v>
      </c>
      <c r="J56">
        <v>0</v>
      </c>
      <c r="K56">
        <v>0</v>
      </c>
      <c r="L56">
        <v>0</v>
      </c>
      <c r="M56">
        <v>0</v>
      </c>
      <c r="N56">
        <v>0</v>
      </c>
      <c r="O56">
        <v>0</v>
      </c>
      <c r="P56">
        <v>0</v>
      </c>
      <c r="Q56">
        <v>0</v>
      </c>
      <c r="R56">
        <v>0</v>
      </c>
      <c r="S56">
        <v>0</v>
      </c>
      <c r="T56">
        <v>0</v>
      </c>
      <c r="U56">
        <v>0</v>
      </c>
      <c r="V56">
        <v>0</v>
      </c>
      <c r="W56">
        <v>0</v>
      </c>
      <c r="X56">
        <v>0</v>
      </c>
      <c r="Y56">
        <v>0</v>
      </c>
      <c r="Z56" t="s">
        <v>570</v>
      </c>
      <c r="AA56" t="s">
        <v>571</v>
      </c>
    </row>
    <row r="57" spans="1:27">
      <c r="A57">
        <v>32281.5834</v>
      </c>
      <c r="B57">
        <v>8608.4222399999999</v>
      </c>
      <c r="C57">
        <v>8608.4222399999999</v>
      </c>
      <c r="D57">
        <v>0</v>
      </c>
      <c r="E57">
        <v>8608.4222399999999</v>
      </c>
      <c r="F57">
        <v>8608.4222399999999</v>
      </c>
      <c r="G57">
        <v>8608.4222399999999</v>
      </c>
      <c r="H57">
        <v>8608.4222399999999</v>
      </c>
      <c r="I57">
        <v>8608.4222399999999</v>
      </c>
      <c r="J57">
        <v>0</v>
      </c>
      <c r="K57">
        <v>4304.2111199999999</v>
      </c>
      <c r="L57">
        <v>8608.4222399999999</v>
      </c>
      <c r="M57">
        <v>8608.4222399999999</v>
      </c>
      <c r="N57">
        <v>2152.10556</v>
      </c>
      <c r="O57">
        <v>8608.4222399999999</v>
      </c>
      <c r="P57">
        <v>107605.27799999999</v>
      </c>
      <c r="Q57">
        <v>8608.4222399999999</v>
      </c>
      <c r="R57">
        <v>17216.84448</v>
      </c>
      <c r="S57">
        <v>12912.63336</v>
      </c>
      <c r="T57">
        <v>0</v>
      </c>
      <c r="U57">
        <v>38737.900079999999</v>
      </c>
      <c r="V57">
        <v>32281.5834</v>
      </c>
      <c r="W57">
        <v>0</v>
      </c>
      <c r="X57">
        <v>32281.5834</v>
      </c>
      <c r="Y57">
        <v>0</v>
      </c>
      <c r="Z57" t="s">
        <v>570</v>
      </c>
      <c r="AA57" t="s">
        <v>571</v>
      </c>
    </row>
    <row r="58" spans="1:27">
      <c r="A58">
        <v>0</v>
      </c>
      <c r="B58">
        <v>0</v>
      </c>
      <c r="C58">
        <v>0</v>
      </c>
      <c r="D58">
        <v>0</v>
      </c>
      <c r="E58">
        <v>0</v>
      </c>
      <c r="F58">
        <v>0</v>
      </c>
      <c r="G58">
        <v>0</v>
      </c>
      <c r="H58">
        <v>0</v>
      </c>
      <c r="I58">
        <v>0</v>
      </c>
      <c r="J58">
        <v>0</v>
      </c>
      <c r="K58">
        <v>0</v>
      </c>
      <c r="L58">
        <v>0</v>
      </c>
      <c r="M58">
        <v>0</v>
      </c>
      <c r="N58">
        <v>0</v>
      </c>
      <c r="O58">
        <v>0</v>
      </c>
      <c r="P58">
        <v>0</v>
      </c>
      <c r="Q58">
        <v>0</v>
      </c>
      <c r="R58">
        <v>0</v>
      </c>
      <c r="S58">
        <v>0</v>
      </c>
      <c r="T58">
        <v>0</v>
      </c>
      <c r="U58">
        <v>0</v>
      </c>
      <c r="V58">
        <v>0</v>
      </c>
      <c r="W58">
        <v>0</v>
      </c>
      <c r="X58">
        <v>0</v>
      </c>
      <c r="Y58">
        <v>0</v>
      </c>
      <c r="Z58" t="s">
        <v>544</v>
      </c>
      <c r="AA58" t="s">
        <v>545</v>
      </c>
    </row>
    <row r="59" spans="1:27">
      <c r="A59">
        <v>37888.109100000009</v>
      </c>
      <c r="B59">
        <v>12629.369700000003</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t="s">
        <v>544</v>
      </c>
      <c r="AA59" t="s">
        <v>545</v>
      </c>
    </row>
    <row r="60" spans="1:27">
      <c r="A60">
        <v>216803.45250000001</v>
      </c>
      <c r="B60">
        <v>19271.418000000001</v>
      </c>
      <c r="C60">
        <v>19271.418000000001</v>
      </c>
      <c r="D60">
        <v>0</v>
      </c>
      <c r="E60">
        <v>52996.399500000007</v>
      </c>
      <c r="F60">
        <v>19271.418000000001</v>
      </c>
      <c r="G60">
        <v>19271.418000000001</v>
      </c>
      <c r="H60">
        <v>19271.418000000001</v>
      </c>
      <c r="I60">
        <v>19271.418000000001</v>
      </c>
      <c r="J60">
        <v>19271.418000000001</v>
      </c>
      <c r="K60">
        <v>19271.418000000001</v>
      </c>
      <c r="L60">
        <v>48178.545000000006</v>
      </c>
      <c r="M60">
        <v>9635.7090000000007</v>
      </c>
      <c r="N60">
        <v>4817.8545000000004</v>
      </c>
      <c r="O60">
        <v>19271.418000000001</v>
      </c>
      <c r="P60">
        <v>72267.817500000005</v>
      </c>
      <c r="Q60">
        <v>19271.418000000001</v>
      </c>
      <c r="R60">
        <v>38542.836000000003</v>
      </c>
      <c r="S60">
        <v>72267.817500000005</v>
      </c>
      <c r="T60">
        <v>72267.817500000005</v>
      </c>
      <c r="U60">
        <v>48178.545000000006</v>
      </c>
      <c r="V60">
        <v>72267.817500000005</v>
      </c>
      <c r="W60">
        <v>14453.5635</v>
      </c>
      <c r="X60">
        <v>72267.817500000005</v>
      </c>
      <c r="Y60">
        <v>28907.127</v>
      </c>
      <c r="Z60" t="s">
        <v>469</v>
      </c>
      <c r="AA60" t="s">
        <v>470</v>
      </c>
    </row>
    <row r="61" spans="1:27">
      <c r="A61">
        <v>62996.119199999994</v>
      </c>
      <c r="B61">
        <v>4199.7412800000002</v>
      </c>
      <c r="C61">
        <v>4199.7412800000002</v>
      </c>
      <c r="D61">
        <v>0</v>
      </c>
      <c r="E61">
        <v>0</v>
      </c>
      <c r="F61">
        <v>0</v>
      </c>
      <c r="G61">
        <v>4199.7412800000002</v>
      </c>
      <c r="H61">
        <v>4199.7412800000002</v>
      </c>
      <c r="I61">
        <v>4199.7412800000002</v>
      </c>
      <c r="J61">
        <v>4199.7412800000002</v>
      </c>
      <c r="K61">
        <v>2799.8275199999998</v>
      </c>
      <c r="L61">
        <v>0</v>
      </c>
      <c r="M61">
        <v>2799.8275199999998</v>
      </c>
      <c r="N61">
        <v>0</v>
      </c>
      <c r="O61">
        <v>4199.7412800000002</v>
      </c>
      <c r="P61">
        <v>0</v>
      </c>
      <c r="Q61">
        <v>4199.7412800000002</v>
      </c>
      <c r="R61">
        <v>6999.5687999999991</v>
      </c>
      <c r="S61">
        <v>4199.7412800000002</v>
      </c>
      <c r="T61">
        <v>0</v>
      </c>
      <c r="U61">
        <v>8399.4825600000004</v>
      </c>
      <c r="V61">
        <v>6999.5687999999991</v>
      </c>
      <c r="W61">
        <v>2799.8275199999998</v>
      </c>
      <c r="X61">
        <v>6999.5687999999991</v>
      </c>
      <c r="Y61">
        <v>0</v>
      </c>
      <c r="Z61" t="s">
        <v>452</v>
      </c>
      <c r="AA61" t="s">
        <v>453</v>
      </c>
    </row>
    <row r="62" spans="1:27">
      <c r="A62">
        <v>0</v>
      </c>
      <c r="B62">
        <v>5267.9386800000002</v>
      </c>
      <c r="C62">
        <v>5267.9386800000002</v>
      </c>
      <c r="D62">
        <v>0</v>
      </c>
      <c r="E62">
        <v>0</v>
      </c>
      <c r="F62">
        <v>5267.9386800000002</v>
      </c>
      <c r="G62">
        <v>5267.9386800000002</v>
      </c>
      <c r="H62">
        <v>5267.9386800000002</v>
      </c>
      <c r="I62">
        <v>5267.9386800000002</v>
      </c>
      <c r="J62">
        <v>5267.9386800000002</v>
      </c>
      <c r="K62">
        <v>3511.95912</v>
      </c>
      <c r="L62">
        <v>8779.8978000000006</v>
      </c>
      <c r="M62">
        <v>0</v>
      </c>
      <c r="N62">
        <v>5267.9386800000002</v>
      </c>
      <c r="O62">
        <v>5267.9386800000002</v>
      </c>
      <c r="P62">
        <v>0</v>
      </c>
      <c r="Q62">
        <v>5267.9386800000002</v>
      </c>
      <c r="R62">
        <v>5267.9386800000002</v>
      </c>
      <c r="S62">
        <v>0</v>
      </c>
      <c r="T62">
        <v>8779.8978000000006</v>
      </c>
      <c r="U62">
        <v>12291.85692</v>
      </c>
      <c r="V62">
        <v>7023.91824</v>
      </c>
      <c r="W62">
        <v>5267.9386800000002</v>
      </c>
      <c r="X62">
        <v>7023.91824</v>
      </c>
      <c r="Y62">
        <v>5267.9386800000002</v>
      </c>
      <c r="Z62" t="s">
        <v>446</v>
      </c>
      <c r="AA62" t="s">
        <v>447</v>
      </c>
    </row>
    <row r="63" spans="1:27">
      <c r="A63">
        <v>0</v>
      </c>
      <c r="B63">
        <v>7192.8089099999997</v>
      </c>
      <c r="C63">
        <v>7192.8089099999997</v>
      </c>
      <c r="D63">
        <v>0</v>
      </c>
      <c r="E63">
        <v>0</v>
      </c>
      <c r="F63">
        <v>0</v>
      </c>
      <c r="G63">
        <v>7192.8089099999997</v>
      </c>
      <c r="H63">
        <v>0</v>
      </c>
      <c r="I63">
        <v>7192.8089099999997</v>
      </c>
      <c r="J63">
        <v>7192.8089099999997</v>
      </c>
      <c r="K63">
        <v>7192.8089099999997</v>
      </c>
      <c r="L63">
        <v>9590.4118799999997</v>
      </c>
      <c r="M63">
        <v>2397.6029699999999</v>
      </c>
      <c r="N63">
        <v>0</v>
      </c>
      <c r="O63">
        <v>7192.8089099999997</v>
      </c>
      <c r="P63">
        <v>0</v>
      </c>
      <c r="Q63">
        <v>4795.2059399999998</v>
      </c>
      <c r="R63">
        <v>7192.8089099999997</v>
      </c>
      <c r="S63">
        <v>0</v>
      </c>
      <c r="T63">
        <v>0</v>
      </c>
      <c r="U63">
        <v>4795.2059399999998</v>
      </c>
      <c r="V63">
        <v>0</v>
      </c>
      <c r="W63">
        <v>0</v>
      </c>
      <c r="X63">
        <v>0</v>
      </c>
      <c r="Y63">
        <v>0</v>
      </c>
      <c r="Z63" t="s">
        <v>449</v>
      </c>
      <c r="AA63" t="s">
        <v>450</v>
      </c>
    </row>
    <row r="64" spans="1:27">
      <c r="A64">
        <v>395918.70525000006</v>
      </c>
      <c r="B64">
        <v>26394.580350000004</v>
      </c>
      <c r="C64">
        <v>26394.580350000004</v>
      </c>
      <c r="D64">
        <v>0</v>
      </c>
      <c r="E64">
        <v>0</v>
      </c>
      <c r="F64">
        <v>0</v>
      </c>
      <c r="G64">
        <v>26394.580350000004</v>
      </c>
      <c r="H64">
        <v>26394.580350000004</v>
      </c>
      <c r="I64">
        <v>26394.580350000004</v>
      </c>
      <c r="J64">
        <v>26394.580350000004</v>
      </c>
      <c r="K64">
        <v>26394.580350000004</v>
      </c>
      <c r="L64">
        <v>0</v>
      </c>
      <c r="M64">
        <v>8798.1934500000007</v>
      </c>
      <c r="N64">
        <v>0</v>
      </c>
      <c r="O64">
        <v>26394.580350000004</v>
      </c>
      <c r="P64">
        <v>0</v>
      </c>
      <c r="Q64">
        <v>26394.580350000004</v>
      </c>
      <c r="R64">
        <v>43990.967250000002</v>
      </c>
      <c r="S64">
        <v>0</v>
      </c>
      <c r="T64">
        <v>17596.386900000001</v>
      </c>
      <c r="U64">
        <v>43990.967250000002</v>
      </c>
      <c r="V64">
        <v>52789.160700000008</v>
      </c>
      <c r="W64">
        <v>26394.580350000004</v>
      </c>
      <c r="X64">
        <v>52789.160700000008</v>
      </c>
      <c r="Y64">
        <v>0</v>
      </c>
      <c r="Z64" t="s">
        <v>443</v>
      </c>
      <c r="AA64" t="s">
        <v>444</v>
      </c>
    </row>
    <row r="65" spans="1:27">
      <c r="A65">
        <v>0</v>
      </c>
      <c r="B65">
        <v>0</v>
      </c>
      <c r="C65">
        <v>0</v>
      </c>
      <c r="D65">
        <v>0</v>
      </c>
      <c r="E65">
        <v>0</v>
      </c>
      <c r="F65">
        <v>0</v>
      </c>
      <c r="G65">
        <v>0</v>
      </c>
      <c r="H65">
        <v>0</v>
      </c>
      <c r="I65">
        <v>0</v>
      </c>
      <c r="J65">
        <v>0</v>
      </c>
      <c r="K65">
        <v>0</v>
      </c>
      <c r="L65">
        <v>14525.794950000001</v>
      </c>
      <c r="M65">
        <v>0</v>
      </c>
      <c r="N65">
        <v>0</v>
      </c>
      <c r="O65">
        <v>0</v>
      </c>
      <c r="P65">
        <v>14525.794950000001</v>
      </c>
      <c r="Q65">
        <v>0</v>
      </c>
      <c r="R65">
        <v>11620.635960000001</v>
      </c>
      <c r="S65">
        <v>43577.384850000002</v>
      </c>
      <c r="T65">
        <v>29051.589900000003</v>
      </c>
      <c r="U65">
        <v>0</v>
      </c>
      <c r="V65">
        <v>14525.794950000001</v>
      </c>
      <c r="W65">
        <v>0</v>
      </c>
      <c r="X65">
        <v>14525.794950000001</v>
      </c>
      <c r="Y65">
        <v>0</v>
      </c>
      <c r="Z65" t="s">
        <v>516</v>
      </c>
      <c r="AA65" t="s">
        <v>517</v>
      </c>
    </row>
    <row r="66" spans="1:27">
      <c r="A66">
        <v>0</v>
      </c>
      <c r="B66">
        <v>0</v>
      </c>
      <c r="C66">
        <v>0</v>
      </c>
      <c r="D66">
        <v>0</v>
      </c>
      <c r="E66">
        <v>0</v>
      </c>
      <c r="F66">
        <v>0</v>
      </c>
      <c r="G66">
        <v>0</v>
      </c>
      <c r="H66">
        <v>0</v>
      </c>
      <c r="I66">
        <v>0</v>
      </c>
      <c r="J66">
        <v>0</v>
      </c>
      <c r="K66">
        <v>30988.355100000001</v>
      </c>
      <c r="L66">
        <v>21691.848569999998</v>
      </c>
      <c r="M66">
        <v>0</v>
      </c>
      <c r="N66">
        <v>0</v>
      </c>
      <c r="O66">
        <v>0</v>
      </c>
      <c r="P66">
        <v>0</v>
      </c>
      <c r="Q66">
        <v>0</v>
      </c>
      <c r="R66">
        <v>15494.17755</v>
      </c>
      <c r="S66">
        <v>0</v>
      </c>
      <c r="T66">
        <v>15494.17755</v>
      </c>
      <c r="U66">
        <v>21691.848569999998</v>
      </c>
      <c r="V66">
        <v>6197.6710199999998</v>
      </c>
      <c r="W66">
        <v>0</v>
      </c>
      <c r="X66">
        <v>6197.6710199999998</v>
      </c>
      <c r="Y66">
        <v>0</v>
      </c>
      <c r="Z66" t="s">
        <v>516</v>
      </c>
      <c r="AA66" t="s">
        <v>517</v>
      </c>
    </row>
    <row r="67" spans="1:27">
      <c r="A67">
        <v>0</v>
      </c>
      <c r="B67">
        <v>0</v>
      </c>
      <c r="C67">
        <v>0</v>
      </c>
      <c r="D67">
        <v>0</v>
      </c>
      <c r="E67">
        <v>0</v>
      </c>
      <c r="F67">
        <v>0</v>
      </c>
      <c r="G67">
        <v>0</v>
      </c>
      <c r="H67">
        <v>0</v>
      </c>
      <c r="I67">
        <v>0</v>
      </c>
      <c r="J67">
        <v>0</v>
      </c>
      <c r="K67">
        <v>0</v>
      </c>
      <c r="L67">
        <v>0</v>
      </c>
      <c r="M67">
        <v>0</v>
      </c>
      <c r="N67">
        <v>0</v>
      </c>
      <c r="O67">
        <v>0</v>
      </c>
      <c r="P67">
        <v>0</v>
      </c>
      <c r="Q67">
        <v>0</v>
      </c>
      <c r="R67">
        <v>12903.300899999998</v>
      </c>
      <c r="S67">
        <v>0</v>
      </c>
      <c r="T67">
        <v>0</v>
      </c>
      <c r="U67">
        <v>0</v>
      </c>
      <c r="V67">
        <v>0</v>
      </c>
      <c r="W67">
        <v>0</v>
      </c>
      <c r="X67">
        <v>0</v>
      </c>
      <c r="Y67">
        <v>0</v>
      </c>
      <c r="Z67" t="s">
        <v>556</v>
      </c>
      <c r="AA67" t="s">
        <v>557</v>
      </c>
    </row>
    <row r="68" spans="1:27">
      <c r="A68">
        <v>0</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t="s">
        <v>548</v>
      </c>
      <c r="AA68" t="s">
        <v>549</v>
      </c>
    </row>
    <row r="69" spans="1:27">
      <c r="A69">
        <v>1838687.6474999997</v>
      </c>
      <c r="B69">
        <v>294190.02359999996</v>
      </c>
      <c r="C69">
        <v>294190.02359999996</v>
      </c>
      <c r="D69">
        <v>0</v>
      </c>
      <c r="E69">
        <v>941408.07551999984</v>
      </c>
      <c r="F69">
        <v>441285.03539999994</v>
      </c>
      <c r="G69">
        <v>441285.03539999994</v>
      </c>
      <c r="H69">
        <v>0</v>
      </c>
      <c r="I69">
        <v>588380.04719999991</v>
      </c>
      <c r="J69">
        <v>441285.03539999994</v>
      </c>
      <c r="K69">
        <v>441285.03539999994</v>
      </c>
      <c r="L69">
        <v>0</v>
      </c>
      <c r="M69">
        <v>183868.76474999997</v>
      </c>
      <c r="N69">
        <v>294190.02359999996</v>
      </c>
      <c r="O69">
        <v>22064.251769999995</v>
      </c>
      <c r="P69">
        <v>441285.03539999994</v>
      </c>
      <c r="Q69">
        <v>110321.25884999998</v>
      </c>
      <c r="R69">
        <v>220642.51769999997</v>
      </c>
      <c r="S69">
        <v>220642.51769999997</v>
      </c>
      <c r="T69">
        <v>220642.51769999997</v>
      </c>
      <c r="U69">
        <v>147095.01179999998</v>
      </c>
      <c r="V69">
        <v>0</v>
      </c>
      <c r="W69">
        <v>220642.51769999997</v>
      </c>
      <c r="X69">
        <v>0</v>
      </c>
      <c r="Y69">
        <v>73547.505899999989</v>
      </c>
      <c r="Z69" t="s">
        <v>548</v>
      </c>
      <c r="AA69" t="s">
        <v>549</v>
      </c>
    </row>
    <row r="70" spans="1:27">
      <c r="A70">
        <v>85062.463499999983</v>
      </c>
      <c r="B70">
        <v>0</v>
      </c>
      <c r="C70">
        <v>0</v>
      </c>
      <c r="D70">
        <v>0</v>
      </c>
      <c r="E70">
        <v>0</v>
      </c>
      <c r="F70">
        <v>0</v>
      </c>
      <c r="G70">
        <v>0</v>
      </c>
      <c r="H70">
        <v>0</v>
      </c>
      <c r="I70">
        <v>0</v>
      </c>
      <c r="J70">
        <v>0</v>
      </c>
      <c r="K70">
        <v>0</v>
      </c>
      <c r="L70">
        <v>25518.739049999996</v>
      </c>
      <c r="M70">
        <v>0</v>
      </c>
      <c r="N70">
        <v>0</v>
      </c>
      <c r="O70">
        <v>0</v>
      </c>
      <c r="P70">
        <v>17012.492699999999</v>
      </c>
      <c r="Q70">
        <v>0</v>
      </c>
      <c r="R70">
        <v>8506.2463499999994</v>
      </c>
      <c r="S70">
        <v>17012.492699999999</v>
      </c>
      <c r="T70">
        <v>51037.478099999993</v>
      </c>
      <c r="U70">
        <v>34024.985399999998</v>
      </c>
      <c r="V70">
        <v>25518.739049999996</v>
      </c>
      <c r="W70">
        <v>0</v>
      </c>
      <c r="X70">
        <v>25518.739049999996</v>
      </c>
      <c r="Y70">
        <v>85062.463499999983</v>
      </c>
      <c r="Z70" t="s">
        <v>567</v>
      </c>
      <c r="AA70" t="s">
        <v>568</v>
      </c>
    </row>
    <row r="71" spans="1:27">
      <c r="A71">
        <v>178645.4406</v>
      </c>
      <c r="B71">
        <v>19849.493399999999</v>
      </c>
      <c r="C71">
        <v>0</v>
      </c>
      <c r="D71">
        <v>0</v>
      </c>
      <c r="E71">
        <v>0</v>
      </c>
      <c r="F71">
        <v>0</v>
      </c>
      <c r="G71">
        <v>19849.493399999999</v>
      </c>
      <c r="H71">
        <v>19849.493399999999</v>
      </c>
      <c r="I71">
        <v>19849.493399999999</v>
      </c>
      <c r="J71">
        <v>19849.493399999999</v>
      </c>
      <c r="K71">
        <v>19849.493399999999</v>
      </c>
      <c r="L71">
        <v>0</v>
      </c>
      <c r="M71">
        <v>7939.7973599999996</v>
      </c>
      <c r="N71">
        <v>0</v>
      </c>
      <c r="O71">
        <v>0</v>
      </c>
      <c r="P71">
        <v>19849.493399999999</v>
      </c>
      <c r="Q71">
        <v>0</v>
      </c>
      <c r="R71">
        <v>19849.493399999999</v>
      </c>
      <c r="S71">
        <v>0</v>
      </c>
      <c r="T71">
        <v>0</v>
      </c>
      <c r="U71">
        <v>15879.594719999999</v>
      </c>
      <c r="V71">
        <v>0</v>
      </c>
      <c r="W71">
        <v>0</v>
      </c>
      <c r="X71">
        <v>0</v>
      </c>
      <c r="Y71">
        <v>0</v>
      </c>
      <c r="Z71" t="s">
        <v>466</v>
      </c>
      <c r="AA71" t="s">
        <v>467</v>
      </c>
    </row>
    <row r="72" spans="1:27">
      <c r="A72">
        <v>865977.31500000006</v>
      </c>
      <c r="B72">
        <v>49484.418000000005</v>
      </c>
      <c r="C72">
        <v>30927.761250000003</v>
      </c>
      <c r="D72">
        <v>0</v>
      </c>
      <c r="E72">
        <v>103917.27780000001</v>
      </c>
      <c r="F72">
        <v>0</v>
      </c>
      <c r="G72">
        <v>61855.522500000006</v>
      </c>
      <c r="H72">
        <v>24742.209000000003</v>
      </c>
      <c r="I72">
        <v>61855.522500000006</v>
      </c>
      <c r="J72">
        <v>37113.313500000004</v>
      </c>
      <c r="K72">
        <v>49484.418000000005</v>
      </c>
      <c r="L72">
        <v>24742.209000000003</v>
      </c>
      <c r="M72">
        <v>12371.104500000001</v>
      </c>
      <c r="N72">
        <v>9896.883600000001</v>
      </c>
      <c r="O72">
        <v>12371.104500000001</v>
      </c>
      <c r="P72">
        <v>37113.313500000004</v>
      </c>
      <c r="Q72">
        <v>24742.209000000003</v>
      </c>
      <c r="R72">
        <v>24742.209000000003</v>
      </c>
      <c r="S72">
        <v>12371.104500000001</v>
      </c>
      <c r="T72">
        <v>74226.627000000008</v>
      </c>
      <c r="U72">
        <v>24742.209000000003</v>
      </c>
      <c r="V72">
        <v>12371.104500000001</v>
      </c>
      <c r="W72">
        <v>24742.209000000003</v>
      </c>
      <c r="X72">
        <v>12371.104500000001</v>
      </c>
      <c r="Y72">
        <v>24742.209000000003</v>
      </c>
      <c r="Z72" t="s">
        <v>587</v>
      </c>
      <c r="AA72" t="s">
        <v>588</v>
      </c>
    </row>
    <row r="73" spans="1:27">
      <c r="A73">
        <v>703090.08</v>
      </c>
      <c r="B73">
        <v>70309.008000000002</v>
      </c>
      <c r="C73">
        <v>43943.13</v>
      </c>
      <c r="D73">
        <v>0</v>
      </c>
      <c r="E73">
        <v>77339.90879999999</v>
      </c>
      <c r="F73">
        <v>0</v>
      </c>
      <c r="G73">
        <v>87886.26</v>
      </c>
      <c r="H73">
        <v>35154.504000000001</v>
      </c>
      <c r="I73">
        <v>70309.008000000002</v>
      </c>
      <c r="J73">
        <v>35154.504000000001</v>
      </c>
      <c r="K73">
        <v>70309.008000000002</v>
      </c>
      <c r="L73">
        <v>17577.252</v>
      </c>
      <c r="M73">
        <v>17577.252</v>
      </c>
      <c r="N73">
        <v>0</v>
      </c>
      <c r="O73">
        <v>17577.252</v>
      </c>
      <c r="P73">
        <v>52731.755999999994</v>
      </c>
      <c r="Q73">
        <v>8788.6260000000002</v>
      </c>
      <c r="R73">
        <v>8788.6260000000002</v>
      </c>
      <c r="S73">
        <v>17577.252</v>
      </c>
      <c r="T73">
        <v>36912.229199999994</v>
      </c>
      <c r="U73">
        <v>26365.877999999997</v>
      </c>
      <c r="V73">
        <v>17577.252</v>
      </c>
      <c r="W73">
        <v>35154.504000000001</v>
      </c>
      <c r="X73">
        <v>17577.252</v>
      </c>
      <c r="Y73">
        <v>0</v>
      </c>
      <c r="Z73" t="s">
        <v>587</v>
      </c>
      <c r="AA73" t="s">
        <v>588</v>
      </c>
    </row>
    <row r="74" spans="1:27">
      <c r="A74">
        <v>1457717.943</v>
      </c>
      <c r="B74">
        <v>145771.79430000001</v>
      </c>
      <c r="C74">
        <v>0</v>
      </c>
      <c r="D74">
        <v>0</v>
      </c>
      <c r="E74">
        <v>349852.30631999997</v>
      </c>
      <c r="F74">
        <v>0</v>
      </c>
      <c r="G74">
        <v>58308.717720000001</v>
      </c>
      <c r="H74">
        <v>58308.717720000001</v>
      </c>
      <c r="I74">
        <v>58308.717720000001</v>
      </c>
      <c r="J74">
        <v>58308.717720000001</v>
      </c>
      <c r="K74">
        <v>58308.717720000001</v>
      </c>
      <c r="L74">
        <v>437315.38290000003</v>
      </c>
      <c r="M74">
        <v>0</v>
      </c>
      <c r="N74">
        <v>29154.35886</v>
      </c>
      <c r="O74">
        <v>0</v>
      </c>
      <c r="P74">
        <v>233234.87088</v>
      </c>
      <c r="Q74">
        <v>58308.717720000001</v>
      </c>
      <c r="R74">
        <v>145771.79430000001</v>
      </c>
      <c r="S74">
        <v>0</v>
      </c>
      <c r="T74">
        <v>87463.076579999994</v>
      </c>
      <c r="U74">
        <v>174926.15315999999</v>
      </c>
      <c r="V74">
        <v>87463.076579999994</v>
      </c>
      <c r="W74">
        <v>0</v>
      </c>
      <c r="X74">
        <v>87463.076579999994</v>
      </c>
      <c r="Y74">
        <v>29154.35886</v>
      </c>
      <c r="Z74" t="s">
        <v>475</v>
      </c>
      <c r="AA74" t="s">
        <v>476</v>
      </c>
    </row>
    <row r="75" spans="1:27">
      <c r="A75">
        <v>329388.28049999999</v>
      </c>
      <c r="B75">
        <v>26351.062439999998</v>
      </c>
      <c r="C75">
        <v>13175.531219999999</v>
      </c>
      <c r="D75">
        <v>0</v>
      </c>
      <c r="E75">
        <v>79053.187319999997</v>
      </c>
      <c r="F75">
        <v>0</v>
      </c>
      <c r="G75">
        <v>13175.531219999999</v>
      </c>
      <c r="H75">
        <v>6587.7656099999995</v>
      </c>
      <c r="I75">
        <v>13175.531219999999</v>
      </c>
      <c r="J75">
        <v>13175.531219999999</v>
      </c>
      <c r="K75">
        <v>19763.296829999999</v>
      </c>
      <c r="L75">
        <v>0</v>
      </c>
      <c r="M75">
        <v>0</v>
      </c>
      <c r="N75">
        <v>6587.7656099999995</v>
      </c>
      <c r="O75">
        <v>13175.531219999999</v>
      </c>
      <c r="P75">
        <v>98816.484149999989</v>
      </c>
      <c r="Q75">
        <v>13175.531219999999</v>
      </c>
      <c r="R75">
        <v>13175.531219999999</v>
      </c>
      <c r="S75">
        <v>26351.062439999998</v>
      </c>
      <c r="T75">
        <v>65877.656099999993</v>
      </c>
      <c r="U75">
        <v>46114.359269999994</v>
      </c>
      <c r="V75">
        <v>85640.952929999999</v>
      </c>
      <c r="W75">
        <v>19763.296829999999</v>
      </c>
      <c r="X75">
        <v>85640.952929999999</v>
      </c>
      <c r="Y75">
        <v>0</v>
      </c>
      <c r="Z75" t="s">
        <v>475</v>
      </c>
      <c r="AA75" t="s">
        <v>476</v>
      </c>
    </row>
    <row r="76" spans="1:27">
      <c r="A76">
        <v>155118.37607999999</v>
      </c>
      <c r="B76">
        <v>19389.797009999998</v>
      </c>
      <c r="C76">
        <v>19389.797009999998</v>
      </c>
      <c r="D76">
        <v>0</v>
      </c>
      <c r="E76">
        <v>0</v>
      </c>
      <c r="F76">
        <v>0</v>
      </c>
      <c r="G76">
        <v>0</v>
      </c>
      <c r="H76">
        <v>19389.797009999998</v>
      </c>
      <c r="I76">
        <v>19389.797009999998</v>
      </c>
      <c r="J76">
        <v>19389.797009999998</v>
      </c>
      <c r="K76">
        <v>19389.797009999998</v>
      </c>
      <c r="L76">
        <v>0</v>
      </c>
      <c r="M76">
        <v>12926.53134</v>
      </c>
      <c r="N76">
        <v>6463.2656699999998</v>
      </c>
      <c r="O76">
        <v>19389.797009999998</v>
      </c>
      <c r="P76">
        <v>12926.53134</v>
      </c>
      <c r="Q76">
        <v>19389.797009999998</v>
      </c>
      <c r="R76">
        <v>38779.594019999997</v>
      </c>
      <c r="S76">
        <v>0</v>
      </c>
      <c r="T76">
        <v>25853.062679999999</v>
      </c>
      <c r="U76">
        <v>12926.53134</v>
      </c>
      <c r="V76">
        <v>0</v>
      </c>
      <c r="W76">
        <v>12926.53134</v>
      </c>
      <c r="X76">
        <v>0</v>
      </c>
      <c r="Y76">
        <v>12926.53134</v>
      </c>
      <c r="Z76" t="s">
        <v>475</v>
      </c>
      <c r="AA76" t="s">
        <v>476</v>
      </c>
    </row>
    <row r="77" spans="1:27">
      <c r="A77">
        <v>188799.82847999997</v>
      </c>
      <c r="B77">
        <v>15733.319039999998</v>
      </c>
      <c r="C77">
        <v>15733.319039999998</v>
      </c>
      <c r="D77">
        <v>0</v>
      </c>
      <c r="E77">
        <v>0</v>
      </c>
      <c r="F77">
        <v>0</v>
      </c>
      <c r="G77">
        <v>15733.319039999998</v>
      </c>
      <c r="H77">
        <v>15733.319039999998</v>
      </c>
      <c r="I77">
        <v>15733.319039999998</v>
      </c>
      <c r="J77">
        <v>15733.319039999998</v>
      </c>
      <c r="K77">
        <v>10488.879359999999</v>
      </c>
      <c r="L77">
        <v>10488.879359999999</v>
      </c>
      <c r="M77">
        <v>15733.319039999998</v>
      </c>
      <c r="N77">
        <v>15733.319039999998</v>
      </c>
      <c r="O77">
        <v>15733.319039999998</v>
      </c>
      <c r="P77">
        <v>0</v>
      </c>
      <c r="Q77">
        <v>10488.879359999999</v>
      </c>
      <c r="R77">
        <v>26222.198399999997</v>
      </c>
      <c r="S77">
        <v>83911.034879999992</v>
      </c>
      <c r="T77">
        <v>31466.638079999997</v>
      </c>
      <c r="U77">
        <v>31466.638079999997</v>
      </c>
      <c r="V77">
        <v>31466.638079999997</v>
      </c>
      <c r="W77">
        <v>15733.319039999998</v>
      </c>
      <c r="X77">
        <v>31466.638079999997</v>
      </c>
      <c r="Y77">
        <v>10488.879359999999</v>
      </c>
      <c r="Z77" t="s">
        <v>482</v>
      </c>
      <c r="AA77" t="s">
        <v>483</v>
      </c>
    </row>
    <row r="78" spans="1:27">
      <c r="A78">
        <v>69952.047000000006</v>
      </c>
      <c r="B78">
        <v>0</v>
      </c>
      <c r="C78">
        <v>13990.4094</v>
      </c>
      <c r="D78">
        <v>0</v>
      </c>
      <c r="E78">
        <v>41971.228199999998</v>
      </c>
      <c r="F78">
        <v>0</v>
      </c>
      <c r="G78">
        <v>0</v>
      </c>
      <c r="H78">
        <v>13990.4094</v>
      </c>
      <c r="I78">
        <v>13990.4094</v>
      </c>
      <c r="J78">
        <v>13990.4094</v>
      </c>
      <c r="K78">
        <v>20985.614099999999</v>
      </c>
      <c r="L78">
        <v>13990.4094</v>
      </c>
      <c r="M78">
        <v>13990.4094</v>
      </c>
      <c r="N78">
        <v>13990.4094</v>
      </c>
      <c r="O78">
        <v>13990.4094</v>
      </c>
      <c r="P78">
        <v>174880.11749999999</v>
      </c>
      <c r="Q78">
        <v>13990.4094</v>
      </c>
      <c r="R78">
        <v>0</v>
      </c>
      <c r="S78">
        <v>69952.047000000006</v>
      </c>
      <c r="T78">
        <v>69952.047000000006</v>
      </c>
      <c r="U78">
        <v>20985.614099999999</v>
      </c>
      <c r="V78">
        <v>34976.023500000003</v>
      </c>
      <c r="W78">
        <v>20985.614099999999</v>
      </c>
      <c r="X78">
        <v>34976.023500000003</v>
      </c>
      <c r="Y78">
        <v>0</v>
      </c>
      <c r="Z78" t="s">
        <v>482</v>
      </c>
      <c r="AA78" t="s">
        <v>483</v>
      </c>
    </row>
    <row r="79" spans="1:27">
      <c r="A79">
        <v>0</v>
      </c>
      <c r="B79">
        <v>0</v>
      </c>
      <c r="C79">
        <v>0</v>
      </c>
      <c r="D79">
        <v>0</v>
      </c>
      <c r="E79">
        <v>0</v>
      </c>
      <c r="F79">
        <v>0</v>
      </c>
      <c r="G79">
        <v>0</v>
      </c>
      <c r="H79">
        <v>0</v>
      </c>
      <c r="I79">
        <v>0</v>
      </c>
      <c r="J79">
        <v>0</v>
      </c>
      <c r="K79">
        <v>0</v>
      </c>
      <c r="L79">
        <v>0</v>
      </c>
      <c r="M79">
        <v>0</v>
      </c>
      <c r="N79">
        <v>0</v>
      </c>
      <c r="O79">
        <v>0</v>
      </c>
      <c r="P79">
        <v>0</v>
      </c>
      <c r="Q79">
        <v>0</v>
      </c>
      <c r="R79">
        <v>0</v>
      </c>
      <c r="S79">
        <v>0</v>
      </c>
      <c r="T79">
        <v>0</v>
      </c>
      <c r="U79">
        <v>0</v>
      </c>
      <c r="V79">
        <v>0</v>
      </c>
      <c r="W79">
        <v>0</v>
      </c>
      <c r="X79">
        <v>0</v>
      </c>
      <c r="Y79">
        <v>0</v>
      </c>
      <c r="Z79" t="s">
        <v>616</v>
      </c>
      <c r="AA79" t="s">
        <v>617</v>
      </c>
    </row>
    <row r="80" spans="1:27">
      <c r="A80">
        <v>0</v>
      </c>
      <c r="B80">
        <v>0</v>
      </c>
      <c r="C80">
        <v>0</v>
      </c>
      <c r="D80">
        <v>0</v>
      </c>
      <c r="E80">
        <v>2081.98902</v>
      </c>
      <c r="F80">
        <v>0</v>
      </c>
      <c r="G80">
        <v>0</v>
      </c>
      <c r="H80">
        <v>0</v>
      </c>
      <c r="I80">
        <v>0</v>
      </c>
      <c r="J80">
        <v>0</v>
      </c>
      <c r="K80">
        <v>0</v>
      </c>
      <c r="L80">
        <v>8327.9560799999999</v>
      </c>
      <c r="M80">
        <v>0</v>
      </c>
      <c r="N80">
        <v>0</v>
      </c>
      <c r="O80">
        <v>0</v>
      </c>
      <c r="P80">
        <v>0</v>
      </c>
      <c r="Q80">
        <v>0</v>
      </c>
      <c r="R80">
        <v>4163.97804</v>
      </c>
      <c r="S80">
        <v>12491.93412</v>
      </c>
      <c r="T80">
        <v>0</v>
      </c>
      <c r="U80">
        <v>0</v>
      </c>
      <c r="V80">
        <v>0</v>
      </c>
      <c r="W80">
        <v>0</v>
      </c>
      <c r="X80">
        <v>0</v>
      </c>
      <c r="Y80">
        <v>0</v>
      </c>
      <c r="Z80" t="s">
        <v>602</v>
      </c>
      <c r="AA80" t="s">
        <v>603</v>
      </c>
    </row>
    <row r="81" spans="1:27">
      <c r="A81">
        <v>55420.489200000004</v>
      </c>
      <c r="B81">
        <v>2771.0244600000001</v>
      </c>
      <c r="C81">
        <v>2771.0244600000001</v>
      </c>
      <c r="D81">
        <v>0</v>
      </c>
      <c r="E81">
        <v>5542.0489200000002</v>
      </c>
      <c r="F81">
        <v>0</v>
      </c>
      <c r="G81">
        <v>0</v>
      </c>
      <c r="H81">
        <v>0</v>
      </c>
      <c r="I81">
        <v>2771.0244600000001</v>
      </c>
      <c r="J81">
        <v>2771.0244600000001</v>
      </c>
      <c r="K81">
        <v>2771.0244600000001</v>
      </c>
      <c r="L81">
        <v>11084.09784</v>
      </c>
      <c r="M81">
        <v>0</v>
      </c>
      <c r="N81">
        <v>2771.0244600000001</v>
      </c>
      <c r="O81">
        <v>2771.0244600000001</v>
      </c>
      <c r="P81">
        <v>0</v>
      </c>
      <c r="Q81">
        <v>0</v>
      </c>
      <c r="R81">
        <v>6927.5611500000005</v>
      </c>
      <c r="S81">
        <v>0</v>
      </c>
      <c r="T81">
        <v>5542.0489200000002</v>
      </c>
      <c r="U81">
        <v>0</v>
      </c>
      <c r="V81">
        <v>6927.5611500000005</v>
      </c>
      <c r="W81">
        <v>0</v>
      </c>
      <c r="X81">
        <v>6927.5611500000005</v>
      </c>
      <c r="Y81">
        <v>0</v>
      </c>
      <c r="Z81" t="s">
        <v>605</v>
      </c>
      <c r="AA81" t="s">
        <v>606</v>
      </c>
    </row>
    <row r="82" spans="1:27">
      <c r="A82">
        <v>0</v>
      </c>
      <c r="B82">
        <v>0</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t="s">
        <v>605</v>
      </c>
      <c r="AA82" t="s">
        <v>606</v>
      </c>
    </row>
    <row r="83" spans="1:27">
      <c r="A83">
        <v>0</v>
      </c>
      <c r="B83">
        <v>0</v>
      </c>
      <c r="C83">
        <v>0</v>
      </c>
      <c r="D83">
        <v>0</v>
      </c>
      <c r="E83">
        <v>0</v>
      </c>
      <c r="F83">
        <v>0</v>
      </c>
      <c r="G83">
        <v>0</v>
      </c>
      <c r="H83">
        <v>0</v>
      </c>
      <c r="I83">
        <v>0</v>
      </c>
      <c r="J83">
        <v>0</v>
      </c>
      <c r="K83">
        <v>0</v>
      </c>
      <c r="L83">
        <v>0</v>
      </c>
      <c r="M83">
        <v>0</v>
      </c>
      <c r="N83">
        <v>0</v>
      </c>
      <c r="O83">
        <v>0</v>
      </c>
      <c r="P83">
        <v>0</v>
      </c>
      <c r="Q83">
        <v>0</v>
      </c>
      <c r="R83">
        <v>0</v>
      </c>
      <c r="S83">
        <v>0</v>
      </c>
      <c r="T83">
        <v>0</v>
      </c>
      <c r="U83">
        <v>0</v>
      </c>
      <c r="V83">
        <v>0</v>
      </c>
      <c r="W83">
        <v>0</v>
      </c>
      <c r="X83">
        <v>0</v>
      </c>
      <c r="Y83">
        <v>0</v>
      </c>
      <c r="Z83" t="s">
        <v>605</v>
      </c>
      <c r="AA83" t="s">
        <v>606</v>
      </c>
    </row>
    <row r="84" spans="1:27">
      <c r="A84">
        <v>0</v>
      </c>
      <c r="B84">
        <v>0</v>
      </c>
      <c r="C84">
        <v>0</v>
      </c>
      <c r="D84">
        <v>0</v>
      </c>
      <c r="E84">
        <v>0</v>
      </c>
      <c r="F84">
        <v>0</v>
      </c>
      <c r="G84">
        <v>0</v>
      </c>
      <c r="H84">
        <v>0</v>
      </c>
      <c r="I84">
        <v>0</v>
      </c>
      <c r="J84">
        <v>0</v>
      </c>
      <c r="K84">
        <v>0</v>
      </c>
      <c r="L84">
        <v>0</v>
      </c>
      <c r="M84">
        <v>0</v>
      </c>
      <c r="N84">
        <v>0</v>
      </c>
      <c r="O84">
        <v>0</v>
      </c>
      <c r="P84">
        <v>0</v>
      </c>
      <c r="Q84">
        <v>0</v>
      </c>
      <c r="R84">
        <v>0</v>
      </c>
      <c r="S84">
        <v>0</v>
      </c>
      <c r="T84">
        <v>0</v>
      </c>
      <c r="U84">
        <v>0</v>
      </c>
      <c r="V84">
        <v>0</v>
      </c>
      <c r="W84">
        <v>0</v>
      </c>
      <c r="X84">
        <v>0</v>
      </c>
      <c r="Y84">
        <v>0</v>
      </c>
      <c r="Z84" t="s">
        <v>605</v>
      </c>
      <c r="AA84" t="s">
        <v>606</v>
      </c>
    </row>
    <row r="85" spans="1:27">
      <c r="A85">
        <v>0</v>
      </c>
      <c r="B85">
        <v>0</v>
      </c>
      <c r="C85">
        <v>0</v>
      </c>
      <c r="D85">
        <v>0</v>
      </c>
      <c r="E85">
        <v>0</v>
      </c>
      <c r="F85">
        <v>0</v>
      </c>
      <c r="G85">
        <v>0</v>
      </c>
      <c r="H85">
        <v>0</v>
      </c>
      <c r="I85">
        <v>0</v>
      </c>
      <c r="J85">
        <v>0</v>
      </c>
      <c r="K85">
        <v>0</v>
      </c>
      <c r="L85">
        <v>0</v>
      </c>
      <c r="M85">
        <v>0</v>
      </c>
      <c r="N85">
        <v>0</v>
      </c>
      <c r="O85">
        <v>0</v>
      </c>
      <c r="P85">
        <v>0</v>
      </c>
      <c r="Q85">
        <v>0</v>
      </c>
      <c r="R85">
        <v>0</v>
      </c>
      <c r="S85">
        <v>0</v>
      </c>
      <c r="T85">
        <v>0</v>
      </c>
      <c r="U85">
        <v>0</v>
      </c>
      <c r="V85">
        <v>0</v>
      </c>
      <c r="W85">
        <v>0</v>
      </c>
      <c r="X85">
        <v>0</v>
      </c>
      <c r="Y85">
        <v>0</v>
      </c>
      <c r="Z85" t="s">
        <v>605</v>
      </c>
      <c r="AA85" t="s">
        <v>606</v>
      </c>
    </row>
    <row r="86" spans="1:27">
      <c r="A86">
        <v>0</v>
      </c>
      <c r="B86">
        <v>0</v>
      </c>
      <c r="C86">
        <v>0</v>
      </c>
      <c r="D86">
        <v>0</v>
      </c>
      <c r="E86">
        <v>0</v>
      </c>
      <c r="F86">
        <v>0</v>
      </c>
      <c r="G86">
        <v>0</v>
      </c>
      <c r="H86">
        <v>0</v>
      </c>
      <c r="I86">
        <v>0</v>
      </c>
      <c r="J86">
        <v>0</v>
      </c>
      <c r="K86">
        <v>0</v>
      </c>
      <c r="L86">
        <v>0</v>
      </c>
      <c r="M86">
        <v>0</v>
      </c>
      <c r="N86">
        <v>0</v>
      </c>
      <c r="O86">
        <v>0</v>
      </c>
      <c r="P86">
        <v>0</v>
      </c>
      <c r="Q86">
        <v>0</v>
      </c>
      <c r="R86">
        <v>0</v>
      </c>
      <c r="S86">
        <v>0</v>
      </c>
      <c r="T86">
        <v>0</v>
      </c>
      <c r="U86">
        <v>0</v>
      </c>
      <c r="V86">
        <v>0</v>
      </c>
      <c r="W86">
        <v>0</v>
      </c>
      <c r="X86">
        <v>0</v>
      </c>
      <c r="Y86">
        <v>0</v>
      </c>
      <c r="Z86" t="s">
        <v>605</v>
      </c>
      <c r="AA86" t="s">
        <v>606</v>
      </c>
    </row>
    <row r="87" spans="1:27">
      <c r="A87">
        <v>0</v>
      </c>
      <c r="B87">
        <v>0</v>
      </c>
      <c r="C87">
        <v>0</v>
      </c>
      <c r="D87">
        <v>0</v>
      </c>
      <c r="E87">
        <v>0</v>
      </c>
      <c r="F87">
        <v>0</v>
      </c>
      <c r="G87">
        <v>0</v>
      </c>
      <c r="H87">
        <v>0</v>
      </c>
      <c r="I87">
        <v>0</v>
      </c>
      <c r="J87">
        <v>0</v>
      </c>
      <c r="K87">
        <v>0</v>
      </c>
      <c r="L87">
        <v>0</v>
      </c>
      <c r="M87">
        <v>0</v>
      </c>
      <c r="N87">
        <v>0</v>
      </c>
      <c r="O87">
        <v>0</v>
      </c>
      <c r="P87">
        <v>0</v>
      </c>
      <c r="Q87">
        <v>0</v>
      </c>
      <c r="R87">
        <v>0</v>
      </c>
      <c r="S87">
        <v>0</v>
      </c>
      <c r="T87">
        <v>0</v>
      </c>
      <c r="U87">
        <v>0</v>
      </c>
      <c r="V87">
        <v>0</v>
      </c>
      <c r="W87">
        <v>0</v>
      </c>
      <c r="X87">
        <v>0</v>
      </c>
      <c r="Y87">
        <v>0</v>
      </c>
      <c r="Z87" t="s">
        <v>605</v>
      </c>
      <c r="AA87" t="s">
        <v>606</v>
      </c>
    </row>
    <row r="88" spans="1:27">
      <c r="A88">
        <v>0</v>
      </c>
      <c r="B88">
        <v>0</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t="s">
        <v>605</v>
      </c>
      <c r="AA88" t="s">
        <v>606</v>
      </c>
    </row>
    <row r="89" spans="1:27">
      <c r="A89">
        <v>0</v>
      </c>
      <c r="B89">
        <v>0</v>
      </c>
      <c r="C89">
        <v>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v>
      </c>
      <c r="Z89" t="s">
        <v>605</v>
      </c>
      <c r="AA89" t="s">
        <v>606</v>
      </c>
    </row>
    <row r="90" spans="1:27">
      <c r="A90">
        <v>0</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t="s">
        <v>605</v>
      </c>
      <c r="AA90" t="s">
        <v>606</v>
      </c>
    </row>
    <row r="91" spans="1:27">
      <c r="A91">
        <v>0</v>
      </c>
      <c r="B91">
        <v>0</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t="s">
        <v>605</v>
      </c>
      <c r="AA91" t="s">
        <v>606</v>
      </c>
    </row>
    <row r="92" spans="1:27">
      <c r="A92">
        <v>0</v>
      </c>
      <c r="B92">
        <v>0</v>
      </c>
      <c r="C92">
        <v>0</v>
      </c>
      <c r="D92">
        <v>0</v>
      </c>
      <c r="E92">
        <v>0</v>
      </c>
      <c r="F92">
        <v>0</v>
      </c>
      <c r="G92">
        <v>0</v>
      </c>
      <c r="H92">
        <v>0</v>
      </c>
      <c r="I92">
        <v>0</v>
      </c>
      <c r="J92">
        <v>0</v>
      </c>
      <c r="K92">
        <v>0</v>
      </c>
      <c r="L92">
        <v>0</v>
      </c>
      <c r="M92">
        <v>0</v>
      </c>
      <c r="N92">
        <v>0</v>
      </c>
      <c r="O92">
        <v>0</v>
      </c>
      <c r="P92">
        <v>0</v>
      </c>
      <c r="Q92">
        <v>0</v>
      </c>
      <c r="R92">
        <v>0</v>
      </c>
      <c r="S92">
        <v>0</v>
      </c>
      <c r="T92">
        <v>0</v>
      </c>
      <c r="U92">
        <v>0</v>
      </c>
      <c r="V92">
        <v>0</v>
      </c>
      <c r="W92">
        <v>0</v>
      </c>
      <c r="X92">
        <v>0</v>
      </c>
      <c r="Y92">
        <v>0</v>
      </c>
      <c r="Z92" t="s">
        <v>605</v>
      </c>
      <c r="AA92" t="s">
        <v>606</v>
      </c>
    </row>
    <row r="93" spans="1:27">
      <c r="A93">
        <v>0</v>
      </c>
      <c r="B93">
        <v>0</v>
      </c>
      <c r="C93">
        <v>0</v>
      </c>
      <c r="D93">
        <v>0</v>
      </c>
      <c r="E93">
        <v>0</v>
      </c>
      <c r="F93">
        <v>0</v>
      </c>
      <c r="G93">
        <v>0</v>
      </c>
      <c r="H93">
        <v>0</v>
      </c>
      <c r="I93">
        <v>0</v>
      </c>
      <c r="J93">
        <v>0</v>
      </c>
      <c r="K93">
        <v>0</v>
      </c>
      <c r="L93">
        <v>0</v>
      </c>
      <c r="M93">
        <v>0</v>
      </c>
      <c r="N93">
        <v>0</v>
      </c>
      <c r="O93">
        <v>0</v>
      </c>
      <c r="P93">
        <v>0</v>
      </c>
      <c r="Q93">
        <v>0</v>
      </c>
      <c r="R93">
        <v>0</v>
      </c>
      <c r="S93">
        <v>0</v>
      </c>
      <c r="T93">
        <v>0</v>
      </c>
      <c r="U93">
        <v>0</v>
      </c>
      <c r="V93">
        <v>0</v>
      </c>
      <c r="W93">
        <v>0</v>
      </c>
      <c r="X93">
        <v>0</v>
      </c>
      <c r="Y93">
        <v>0</v>
      </c>
      <c r="Z93" t="s">
        <v>605</v>
      </c>
      <c r="AA93" t="s">
        <v>606</v>
      </c>
    </row>
    <row r="94" spans="1:27">
      <c r="A94">
        <v>0</v>
      </c>
      <c r="B94">
        <v>0</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t="s">
        <v>605</v>
      </c>
      <c r="AA94" t="s">
        <v>606</v>
      </c>
    </row>
    <row r="95" spans="1:27">
      <c r="A95">
        <v>0</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t="s">
        <v>605</v>
      </c>
      <c r="AA95" t="s">
        <v>606</v>
      </c>
    </row>
    <row r="96" spans="1:27">
      <c r="A96">
        <v>0</v>
      </c>
      <c r="B96">
        <v>0</v>
      </c>
      <c r="C96">
        <v>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t="s">
        <v>605</v>
      </c>
      <c r="AA96" t="s">
        <v>606</v>
      </c>
    </row>
    <row r="97" spans="1:27">
      <c r="A97">
        <v>0</v>
      </c>
      <c r="B97">
        <v>0</v>
      </c>
      <c r="C97">
        <v>0</v>
      </c>
      <c r="D97">
        <v>0</v>
      </c>
      <c r="E97">
        <v>0</v>
      </c>
      <c r="F97">
        <v>0</v>
      </c>
      <c r="G97">
        <v>0</v>
      </c>
      <c r="H97">
        <v>0</v>
      </c>
      <c r="I97">
        <v>0</v>
      </c>
      <c r="J97">
        <v>0</v>
      </c>
      <c r="K97">
        <v>0</v>
      </c>
      <c r="L97">
        <v>0</v>
      </c>
      <c r="M97">
        <v>0</v>
      </c>
      <c r="N97">
        <v>0</v>
      </c>
      <c r="O97">
        <v>0</v>
      </c>
      <c r="P97">
        <v>0</v>
      </c>
      <c r="Q97">
        <v>0</v>
      </c>
      <c r="R97">
        <v>0</v>
      </c>
      <c r="S97">
        <v>0</v>
      </c>
      <c r="T97">
        <v>0</v>
      </c>
      <c r="U97">
        <v>0</v>
      </c>
      <c r="V97">
        <v>0</v>
      </c>
      <c r="W97">
        <v>0</v>
      </c>
      <c r="X97">
        <v>0</v>
      </c>
      <c r="Y97">
        <v>0</v>
      </c>
      <c r="Z97" t="s">
        <v>605</v>
      </c>
      <c r="AA97" t="s">
        <v>606</v>
      </c>
    </row>
    <row r="98" spans="1:27">
      <c r="A98">
        <v>0</v>
      </c>
      <c r="B98">
        <v>0</v>
      </c>
      <c r="C98">
        <v>0</v>
      </c>
      <c r="D98">
        <v>0</v>
      </c>
      <c r="E98">
        <v>0</v>
      </c>
      <c r="F98">
        <v>0</v>
      </c>
      <c r="G98">
        <v>0</v>
      </c>
      <c r="H98">
        <v>0</v>
      </c>
      <c r="I98">
        <v>0</v>
      </c>
      <c r="J98">
        <v>0</v>
      </c>
      <c r="K98">
        <v>0</v>
      </c>
      <c r="L98">
        <v>0</v>
      </c>
      <c r="M98">
        <v>0</v>
      </c>
      <c r="N98">
        <v>0</v>
      </c>
      <c r="O98">
        <v>0</v>
      </c>
      <c r="P98">
        <v>0</v>
      </c>
      <c r="Q98">
        <v>0</v>
      </c>
      <c r="R98">
        <v>0</v>
      </c>
      <c r="S98">
        <v>0</v>
      </c>
      <c r="T98">
        <v>0</v>
      </c>
      <c r="U98">
        <v>0</v>
      </c>
      <c r="V98">
        <v>0</v>
      </c>
      <c r="W98">
        <v>0</v>
      </c>
      <c r="X98">
        <v>0</v>
      </c>
      <c r="Y98">
        <v>0</v>
      </c>
      <c r="Z98" t="s">
        <v>605</v>
      </c>
      <c r="AA98" t="s">
        <v>606</v>
      </c>
    </row>
    <row r="99" spans="1:27">
      <c r="A99">
        <v>0</v>
      </c>
      <c r="B99">
        <v>0</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t="s">
        <v>605</v>
      </c>
      <c r="AA99" t="s">
        <v>606</v>
      </c>
    </row>
    <row r="100" spans="1:27">
      <c r="A100">
        <v>0</v>
      </c>
      <c r="B100">
        <v>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t="s">
        <v>605</v>
      </c>
      <c r="AA100" t="s">
        <v>606</v>
      </c>
    </row>
    <row r="101" spans="1:27">
      <c r="A101">
        <v>0</v>
      </c>
      <c r="B101">
        <v>0</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t="s">
        <v>605</v>
      </c>
      <c r="AA101" t="s">
        <v>606</v>
      </c>
    </row>
    <row r="102" spans="1:27">
      <c r="A102">
        <v>0</v>
      </c>
      <c r="B102">
        <v>0</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t="s">
        <v>605</v>
      </c>
      <c r="AA102" t="s">
        <v>606</v>
      </c>
    </row>
    <row r="103" spans="1:27">
      <c r="A103">
        <v>0</v>
      </c>
      <c r="B103">
        <v>0</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t="s">
        <v>605</v>
      </c>
      <c r="AA103" t="s">
        <v>606</v>
      </c>
    </row>
    <row r="104" spans="1:27">
      <c r="A104">
        <v>0</v>
      </c>
      <c r="B104">
        <v>0</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t="s">
        <v>605</v>
      </c>
      <c r="AA104" t="s">
        <v>606</v>
      </c>
    </row>
    <row r="105" spans="1:27">
      <c r="A105">
        <v>0</v>
      </c>
      <c r="B105">
        <v>0</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t="s">
        <v>624</v>
      </c>
      <c r="AA105" t="s">
        <v>625</v>
      </c>
    </row>
    <row r="106" spans="1:27">
      <c r="A106">
        <v>0</v>
      </c>
      <c r="B106">
        <v>0</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t="s">
        <v>624</v>
      </c>
      <c r="AA106" t="s">
        <v>625</v>
      </c>
    </row>
    <row r="107" spans="1:27">
      <c r="A107">
        <v>0</v>
      </c>
      <c r="B107">
        <v>0</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t="s">
        <v>624</v>
      </c>
      <c r="AA107" t="s">
        <v>625</v>
      </c>
    </row>
    <row r="108" spans="1:27">
      <c r="A108">
        <v>0</v>
      </c>
      <c r="B108">
        <v>0</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t="s">
        <v>624</v>
      </c>
      <c r="AA108" t="s">
        <v>625</v>
      </c>
    </row>
    <row r="109" spans="1:27">
      <c r="A109">
        <v>0</v>
      </c>
      <c r="B109">
        <v>0</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t="s">
        <v>624</v>
      </c>
      <c r="AA109" t="s">
        <v>625</v>
      </c>
    </row>
    <row r="110" spans="1:27">
      <c r="A110">
        <v>0</v>
      </c>
      <c r="B110">
        <v>0</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t="s">
        <v>624</v>
      </c>
      <c r="AA110" t="s">
        <v>625</v>
      </c>
    </row>
    <row r="111" spans="1:27">
      <c r="A111">
        <v>0</v>
      </c>
      <c r="B111">
        <v>0</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t="s">
        <v>624</v>
      </c>
      <c r="AA111" t="s">
        <v>625</v>
      </c>
    </row>
    <row r="112" spans="1:27">
      <c r="A112">
        <v>0</v>
      </c>
      <c r="B112">
        <v>0</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t="s">
        <v>624</v>
      </c>
      <c r="AA112" t="s">
        <v>625</v>
      </c>
    </row>
    <row r="113" spans="1:27">
      <c r="A113">
        <v>0</v>
      </c>
      <c r="B113">
        <v>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t="s">
        <v>624</v>
      </c>
      <c r="AA113" t="s">
        <v>625</v>
      </c>
    </row>
    <row r="114" spans="1:27">
      <c r="A114">
        <v>0</v>
      </c>
      <c r="B114">
        <v>0</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t="s">
        <v>624</v>
      </c>
      <c r="AA114" t="s">
        <v>625</v>
      </c>
    </row>
    <row r="115" spans="1:27">
      <c r="A115">
        <v>0</v>
      </c>
      <c r="B115">
        <v>0</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t="s">
        <v>624</v>
      </c>
      <c r="AA115" t="s">
        <v>625</v>
      </c>
    </row>
    <row r="116" spans="1:27">
      <c r="A116">
        <v>0</v>
      </c>
      <c r="B116">
        <v>0</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t="s">
        <v>624</v>
      </c>
      <c r="AA116" t="s">
        <v>625</v>
      </c>
    </row>
    <row r="117" spans="1:27">
      <c r="A117">
        <v>0</v>
      </c>
      <c r="B117">
        <v>0</v>
      </c>
      <c r="C117">
        <v>0</v>
      </c>
      <c r="D117">
        <v>0</v>
      </c>
      <c r="E117">
        <v>0</v>
      </c>
      <c r="F117">
        <v>0</v>
      </c>
      <c r="G117">
        <v>0</v>
      </c>
      <c r="H117">
        <v>0</v>
      </c>
      <c r="I117">
        <v>0</v>
      </c>
      <c r="J117">
        <v>0</v>
      </c>
      <c r="K117">
        <v>26475.551189999998</v>
      </c>
      <c r="L117">
        <v>44125.918649999992</v>
      </c>
      <c r="M117">
        <v>0</v>
      </c>
      <c r="N117">
        <v>0</v>
      </c>
      <c r="O117">
        <v>0</v>
      </c>
      <c r="P117">
        <v>0</v>
      </c>
      <c r="Q117">
        <v>0</v>
      </c>
      <c r="R117">
        <v>0</v>
      </c>
      <c r="S117">
        <v>0</v>
      </c>
      <c r="T117">
        <v>0</v>
      </c>
      <c r="U117">
        <v>0</v>
      </c>
      <c r="V117">
        <v>0</v>
      </c>
      <c r="W117">
        <v>0</v>
      </c>
      <c r="X117">
        <v>0</v>
      </c>
      <c r="Y117">
        <v>0</v>
      </c>
      <c r="Z117" t="s">
        <v>486</v>
      </c>
      <c r="AA117" t="s">
        <v>487</v>
      </c>
    </row>
    <row r="118" spans="1:27">
      <c r="A118">
        <v>0</v>
      </c>
      <c r="B118">
        <v>0</v>
      </c>
      <c r="C118">
        <v>0</v>
      </c>
      <c r="D118">
        <v>0</v>
      </c>
      <c r="E118">
        <v>40259.605799999998</v>
      </c>
      <c r="F118">
        <v>0</v>
      </c>
      <c r="G118">
        <v>0</v>
      </c>
      <c r="H118">
        <v>20129.802899999999</v>
      </c>
      <c r="I118">
        <v>30194.70435</v>
      </c>
      <c r="J118">
        <v>20129.802899999999</v>
      </c>
      <c r="K118">
        <v>20129.802899999999</v>
      </c>
      <c r="L118">
        <v>0</v>
      </c>
      <c r="M118">
        <v>0</v>
      </c>
      <c r="N118">
        <v>30194.70435</v>
      </c>
      <c r="O118">
        <v>30194.70435</v>
      </c>
      <c r="P118">
        <v>0</v>
      </c>
      <c r="Q118">
        <v>0</v>
      </c>
      <c r="R118">
        <v>0</v>
      </c>
      <c r="S118">
        <v>201298.02899999998</v>
      </c>
      <c r="T118">
        <v>20129.802899999999</v>
      </c>
      <c r="U118">
        <v>100649.01449999999</v>
      </c>
      <c r="V118">
        <v>251622.53624999998</v>
      </c>
      <c r="W118">
        <v>0</v>
      </c>
      <c r="X118">
        <v>251622.53624999998</v>
      </c>
      <c r="Y118">
        <v>20129.802899999999</v>
      </c>
      <c r="Z118" t="s">
        <v>486</v>
      </c>
      <c r="AA118" t="s">
        <v>487</v>
      </c>
    </row>
    <row r="119" spans="1:27">
      <c r="A119">
        <v>0</v>
      </c>
      <c r="B119">
        <v>0</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t="s">
        <v>590</v>
      </c>
      <c r="AA119" t="s">
        <v>591</v>
      </c>
    </row>
    <row r="120" spans="1:27">
      <c r="A120">
        <v>2273417.469</v>
      </c>
      <c r="B120">
        <v>202081.5528</v>
      </c>
      <c r="C120">
        <v>121248.93167999999</v>
      </c>
      <c r="D120">
        <v>0</v>
      </c>
      <c r="E120">
        <v>444579.41615999996</v>
      </c>
      <c r="F120">
        <v>0</v>
      </c>
      <c r="G120">
        <v>303122.32919999998</v>
      </c>
      <c r="H120">
        <v>0</v>
      </c>
      <c r="I120">
        <v>404163.10560000001</v>
      </c>
      <c r="J120">
        <v>75780.582299999995</v>
      </c>
      <c r="K120">
        <v>0</v>
      </c>
      <c r="L120">
        <v>50520.388200000001</v>
      </c>
      <c r="M120">
        <v>202081.5528</v>
      </c>
      <c r="N120">
        <v>202081.5528</v>
      </c>
      <c r="O120">
        <v>50520.388200000001</v>
      </c>
      <c r="P120">
        <v>303122.32919999998</v>
      </c>
      <c r="Q120">
        <v>101040.7764</v>
      </c>
      <c r="R120">
        <v>101040.7764</v>
      </c>
      <c r="S120">
        <v>202081.5528</v>
      </c>
      <c r="T120">
        <v>151561.16459999999</v>
      </c>
      <c r="U120">
        <v>202081.5528</v>
      </c>
      <c r="V120">
        <v>151561.16459999999</v>
      </c>
      <c r="W120">
        <v>0</v>
      </c>
      <c r="X120">
        <v>151561.16459999999</v>
      </c>
      <c r="Y120">
        <v>303122.32919999998</v>
      </c>
      <c r="Z120" t="s">
        <v>552</v>
      </c>
      <c r="AA120" t="s">
        <v>553</v>
      </c>
    </row>
    <row r="121" spans="1:27">
      <c r="A121">
        <v>0</v>
      </c>
      <c r="B121">
        <v>0</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t="s">
        <v>552</v>
      </c>
      <c r="AA121" t="s">
        <v>553</v>
      </c>
    </row>
    <row r="122" spans="1:27">
      <c r="A122">
        <v>0</v>
      </c>
      <c r="B122">
        <v>0</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t="s">
        <v>611</v>
      </c>
      <c r="AA122" t="s">
        <v>612</v>
      </c>
    </row>
    <row r="123" spans="1:27">
      <c r="A123">
        <v>293471.96130000002</v>
      </c>
      <c r="B123">
        <v>19564.797420000003</v>
      </c>
      <c r="C123">
        <v>0</v>
      </c>
      <c r="D123">
        <v>0</v>
      </c>
      <c r="E123">
        <v>0</v>
      </c>
      <c r="F123">
        <v>0</v>
      </c>
      <c r="G123">
        <v>19564.797420000003</v>
      </c>
      <c r="H123">
        <v>19564.797420000003</v>
      </c>
      <c r="I123">
        <v>19564.797420000003</v>
      </c>
      <c r="J123">
        <v>19564.797420000003</v>
      </c>
      <c r="K123">
        <v>19564.797420000003</v>
      </c>
      <c r="L123">
        <v>0</v>
      </c>
      <c r="M123">
        <v>0</v>
      </c>
      <c r="N123">
        <v>0</v>
      </c>
      <c r="O123">
        <v>19564.797420000003</v>
      </c>
      <c r="P123">
        <v>0</v>
      </c>
      <c r="Q123">
        <v>13043.198280000001</v>
      </c>
      <c r="R123">
        <v>32607.995699999999</v>
      </c>
      <c r="S123">
        <v>32607.995699999999</v>
      </c>
      <c r="T123">
        <v>19564.797420000003</v>
      </c>
      <c r="U123">
        <v>19564.797420000003</v>
      </c>
      <c r="V123">
        <v>0</v>
      </c>
      <c r="W123">
        <v>13043.198280000001</v>
      </c>
      <c r="X123">
        <v>0</v>
      </c>
      <c r="Y123">
        <v>0</v>
      </c>
      <c r="Z123" t="s">
        <v>458</v>
      </c>
      <c r="AA123" t="s">
        <v>459</v>
      </c>
    </row>
    <row r="124" spans="1:27">
      <c r="A124">
        <v>0</v>
      </c>
      <c r="B124">
        <v>0</v>
      </c>
      <c r="C124">
        <v>0</v>
      </c>
      <c r="D124">
        <v>0</v>
      </c>
      <c r="E124">
        <v>28334.26614</v>
      </c>
      <c r="F124">
        <v>0</v>
      </c>
      <c r="G124">
        <v>0</v>
      </c>
      <c r="H124">
        <v>0</v>
      </c>
      <c r="I124">
        <v>42501.399210000003</v>
      </c>
      <c r="J124">
        <v>42501.399210000003</v>
      </c>
      <c r="K124">
        <v>42501.399210000003</v>
      </c>
      <c r="L124">
        <v>0</v>
      </c>
      <c r="M124">
        <v>28334.26614</v>
      </c>
      <c r="N124">
        <v>14167.13307</v>
      </c>
      <c r="O124">
        <v>0</v>
      </c>
      <c r="P124">
        <v>0</v>
      </c>
      <c r="Q124">
        <v>42501.399210000003</v>
      </c>
      <c r="R124">
        <v>56668.532279999999</v>
      </c>
      <c r="S124">
        <v>0</v>
      </c>
      <c r="T124">
        <v>0</v>
      </c>
      <c r="U124">
        <v>0</v>
      </c>
      <c r="V124">
        <v>28334.26614</v>
      </c>
      <c r="W124">
        <v>0</v>
      </c>
      <c r="X124">
        <v>28334.26614</v>
      </c>
      <c r="Y124">
        <v>0</v>
      </c>
      <c r="Z124" t="s">
        <v>458</v>
      </c>
      <c r="AA124" t="s">
        <v>459</v>
      </c>
    </row>
    <row r="125" spans="1:27">
      <c r="A125">
        <v>232534.91399999999</v>
      </c>
      <c r="B125">
        <v>18602.793119999998</v>
      </c>
      <c r="C125">
        <v>18602.793119999998</v>
      </c>
      <c r="D125">
        <v>0</v>
      </c>
      <c r="E125">
        <v>204630.72431999998</v>
      </c>
      <c r="F125">
        <v>18602.793119999998</v>
      </c>
      <c r="G125">
        <v>0</v>
      </c>
      <c r="H125">
        <v>18602.793119999998</v>
      </c>
      <c r="I125">
        <v>18602.793119999998</v>
      </c>
      <c r="J125">
        <v>18602.793119999998</v>
      </c>
      <c r="K125">
        <v>18602.793119999998</v>
      </c>
      <c r="L125">
        <v>23253.491399999999</v>
      </c>
      <c r="M125">
        <v>9301.3965599999992</v>
      </c>
      <c r="N125">
        <v>9301.3965599999992</v>
      </c>
      <c r="O125">
        <v>9301.3965599999992</v>
      </c>
      <c r="P125">
        <v>279041.89679999999</v>
      </c>
      <c r="Q125">
        <v>9301.3965599999992</v>
      </c>
      <c r="R125">
        <v>46506.982799999998</v>
      </c>
      <c r="S125">
        <v>0</v>
      </c>
      <c r="T125">
        <v>69760.474199999997</v>
      </c>
      <c r="U125">
        <v>46506.982799999998</v>
      </c>
      <c r="V125">
        <v>93013.965599999996</v>
      </c>
      <c r="W125">
        <v>139520.94839999999</v>
      </c>
      <c r="X125">
        <v>93013.965599999996</v>
      </c>
      <c r="Y125">
        <v>0</v>
      </c>
      <c r="Z125" t="s">
        <v>559</v>
      </c>
      <c r="AA125" t="s">
        <v>560</v>
      </c>
    </row>
    <row r="126" spans="1:27">
      <c r="A126">
        <v>0</v>
      </c>
      <c r="B126">
        <v>0</v>
      </c>
      <c r="C126">
        <v>0</v>
      </c>
      <c r="D126">
        <v>0</v>
      </c>
      <c r="E126">
        <v>0</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t="s">
        <v>559</v>
      </c>
      <c r="AA126" t="s">
        <v>560</v>
      </c>
    </row>
    <row r="127" spans="1:27">
      <c r="A127">
        <v>354287.14950000006</v>
      </c>
      <c r="B127">
        <v>28342.971960000003</v>
      </c>
      <c r="C127">
        <v>28342.971960000003</v>
      </c>
      <c r="D127">
        <v>0</v>
      </c>
      <c r="E127">
        <v>0</v>
      </c>
      <c r="F127">
        <v>0</v>
      </c>
      <c r="G127">
        <v>0</v>
      </c>
      <c r="H127">
        <v>28342.971960000003</v>
      </c>
      <c r="I127">
        <v>28342.971960000003</v>
      </c>
      <c r="J127">
        <v>28342.971960000003</v>
      </c>
      <c r="K127">
        <v>28342.971960000003</v>
      </c>
      <c r="L127">
        <v>106286.14485000001</v>
      </c>
      <c r="M127">
        <v>14171.485980000001</v>
      </c>
      <c r="N127">
        <v>14171.485980000001</v>
      </c>
      <c r="O127">
        <v>14171.485980000001</v>
      </c>
      <c r="P127">
        <v>63771.686910000004</v>
      </c>
      <c r="Q127">
        <v>14171.485980000001</v>
      </c>
      <c r="R127">
        <v>141714.85980000001</v>
      </c>
      <c r="S127">
        <v>0</v>
      </c>
      <c r="T127">
        <v>14171.485980000001</v>
      </c>
      <c r="U127">
        <v>70857.429900000003</v>
      </c>
      <c r="V127">
        <v>106286.14485000001</v>
      </c>
      <c r="W127">
        <v>0</v>
      </c>
      <c r="X127">
        <v>106286.14485000001</v>
      </c>
      <c r="Y127">
        <v>70857.429900000003</v>
      </c>
      <c r="Z127" t="s">
        <v>559</v>
      </c>
      <c r="AA127" t="s">
        <v>560</v>
      </c>
    </row>
    <row r="128" spans="1:27">
      <c r="A128">
        <v>0</v>
      </c>
      <c r="B128">
        <v>0</v>
      </c>
      <c r="C128">
        <v>0</v>
      </c>
      <c r="D128">
        <v>0</v>
      </c>
      <c r="E128">
        <v>0</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t="s">
        <v>608</v>
      </c>
      <c r="AA128" t="s">
        <v>609</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
  <sheetViews>
    <sheetView workbookViewId="0">
      <selection activeCell="B32" sqref="B32"/>
    </sheetView>
  </sheetViews>
  <sheetFormatPr baseColWidth="10" defaultRowHeight="14.25"/>
  <cols>
    <col min="1" max="1" width="46.25" customWidth="1"/>
    <col min="2" max="2" width="51.375" customWidth="1"/>
    <col min="3" max="3" width="29.875" customWidth="1"/>
    <col min="4" max="4" width="35.375" customWidth="1"/>
    <col min="5" max="5" width="36.25" customWidth="1"/>
    <col min="6" max="6" width="32.375" customWidth="1"/>
    <col min="7" max="7" width="28.125" customWidth="1"/>
    <col min="8" max="8" width="31.375" customWidth="1"/>
    <col min="9" max="9" width="33.75" customWidth="1"/>
    <col min="10" max="10" width="32.125" customWidth="1"/>
    <col min="11" max="11" width="29" customWidth="1"/>
    <col min="12" max="12" width="30.125" customWidth="1"/>
    <col min="13" max="13" width="25.625" customWidth="1"/>
    <col min="14" max="14" width="29.25" customWidth="1"/>
    <col min="15" max="15" width="28.875" customWidth="1"/>
    <col min="16" max="16" width="33.25" customWidth="1"/>
    <col min="17" max="17" width="30.75" customWidth="1"/>
    <col min="18" max="18" width="51.375" customWidth="1"/>
    <col min="19" max="19" width="40.25" customWidth="1"/>
    <col min="20" max="20" width="45.875" customWidth="1"/>
    <col min="21" max="21" width="50.875" customWidth="1"/>
    <col min="22" max="22" width="51.375" customWidth="1"/>
    <col min="23" max="23" width="48.375" customWidth="1"/>
    <col min="24" max="24" width="40.125" customWidth="1"/>
    <col min="25" max="25" width="39" customWidth="1"/>
    <col min="27" max="27" width="17.75" customWidth="1"/>
  </cols>
  <sheetData>
    <row r="1" spans="1:27">
      <c r="A1" t="s">
        <v>653</v>
      </c>
      <c r="B1" t="s">
        <v>654</v>
      </c>
      <c r="C1" t="s">
        <v>655</v>
      </c>
      <c r="D1" t="s">
        <v>656</v>
      </c>
      <c r="E1" t="s">
        <v>657</v>
      </c>
      <c r="F1" t="s">
        <v>658</v>
      </c>
      <c r="G1" t="s">
        <v>659</v>
      </c>
      <c r="H1" t="s">
        <v>660</v>
      </c>
      <c r="I1" t="s">
        <v>661</v>
      </c>
      <c r="J1" t="s">
        <v>662</v>
      </c>
      <c r="K1" t="s">
        <v>663</v>
      </c>
      <c r="L1" t="s">
        <v>664</v>
      </c>
      <c r="M1" t="s">
        <v>665</v>
      </c>
      <c r="N1" t="s">
        <v>666</v>
      </c>
      <c r="O1" t="s">
        <v>667</v>
      </c>
      <c r="P1" t="s">
        <v>668</v>
      </c>
      <c r="Q1" t="s">
        <v>669</v>
      </c>
      <c r="R1" t="s">
        <v>670</v>
      </c>
      <c r="S1" t="s">
        <v>671</v>
      </c>
      <c r="T1" t="s">
        <v>672</v>
      </c>
      <c r="U1" t="s">
        <v>673</v>
      </c>
      <c r="V1" t="s">
        <v>674</v>
      </c>
      <c r="W1" t="s">
        <v>675</v>
      </c>
      <c r="X1" t="s">
        <v>676</v>
      </c>
      <c r="Y1" t="s">
        <v>677</v>
      </c>
      <c r="Z1" t="s">
        <v>441</v>
      </c>
      <c r="AA1" t="s">
        <v>442</v>
      </c>
    </row>
    <row r="2" spans="1:27">
      <c r="A2">
        <v>42401.371799999994</v>
      </c>
      <c r="B2">
        <v>0</v>
      </c>
      <c r="C2">
        <v>0</v>
      </c>
      <c r="D2">
        <v>0</v>
      </c>
      <c r="E2">
        <v>0</v>
      </c>
      <c r="F2">
        <v>0</v>
      </c>
      <c r="G2">
        <v>0</v>
      </c>
      <c r="H2">
        <v>0</v>
      </c>
      <c r="I2">
        <v>0</v>
      </c>
      <c r="J2">
        <v>0</v>
      </c>
      <c r="K2">
        <v>0</v>
      </c>
      <c r="L2">
        <v>0</v>
      </c>
      <c r="M2">
        <v>0</v>
      </c>
      <c r="N2">
        <v>0</v>
      </c>
      <c r="O2">
        <v>0</v>
      </c>
      <c r="P2">
        <v>0</v>
      </c>
      <c r="Q2">
        <v>0</v>
      </c>
      <c r="R2">
        <v>0</v>
      </c>
      <c r="S2">
        <v>0</v>
      </c>
      <c r="T2">
        <v>0</v>
      </c>
      <c r="U2">
        <v>0</v>
      </c>
      <c r="V2">
        <v>0</v>
      </c>
      <c r="W2">
        <v>0</v>
      </c>
      <c r="X2">
        <v>0</v>
      </c>
      <c r="Y2">
        <v>0</v>
      </c>
      <c r="Z2" t="s">
        <v>583</v>
      </c>
      <c r="AA2" t="s">
        <v>584</v>
      </c>
    </row>
    <row r="3" spans="1:27">
      <c r="A3">
        <v>474715.60800000001</v>
      </c>
      <c r="B3">
        <v>178018.353</v>
      </c>
      <c r="C3">
        <v>178018.353</v>
      </c>
      <c r="D3">
        <v>0</v>
      </c>
      <c r="E3">
        <v>284829.36479999998</v>
      </c>
      <c r="F3">
        <v>0</v>
      </c>
      <c r="G3">
        <v>356036.70600000001</v>
      </c>
      <c r="H3">
        <v>118678.902</v>
      </c>
      <c r="I3">
        <v>356036.70600000001</v>
      </c>
      <c r="J3">
        <v>356036.70600000001</v>
      </c>
      <c r="K3">
        <v>356036.70600000001</v>
      </c>
      <c r="L3">
        <v>0</v>
      </c>
      <c r="M3">
        <v>178018.353</v>
      </c>
      <c r="N3">
        <v>59339.451000000001</v>
      </c>
      <c r="O3">
        <v>59339.451000000001</v>
      </c>
      <c r="P3">
        <v>0</v>
      </c>
      <c r="Q3">
        <v>59339.451000000001</v>
      </c>
      <c r="R3">
        <v>118678.902</v>
      </c>
      <c r="S3">
        <v>118678.902</v>
      </c>
      <c r="T3">
        <v>59339.451000000001</v>
      </c>
      <c r="U3">
        <v>89009.176500000001</v>
      </c>
      <c r="V3">
        <v>148348.6275</v>
      </c>
      <c r="W3">
        <v>118678.902</v>
      </c>
      <c r="X3">
        <v>148348.6275</v>
      </c>
      <c r="Y3">
        <v>29669.7255</v>
      </c>
      <c r="Z3" t="s">
        <v>583</v>
      </c>
      <c r="AA3" t="s">
        <v>584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Y302"/>
  <sheetViews>
    <sheetView tabSelected="1" zoomScaleNormal="100" workbookViewId="0">
      <pane ySplit="1" topLeftCell="A197" activePane="bottomLeft" state="frozen"/>
      <selection activeCell="D14" sqref="D14"/>
      <selection pane="bottomLeft" activeCell="Q194" sqref="Q194"/>
    </sheetView>
  </sheetViews>
  <sheetFormatPr baseColWidth="10" defaultRowHeight="14.25"/>
  <cols>
    <col min="1" max="1" width="33.125" customWidth="1"/>
    <col min="2" max="2" width="14.75" bestFit="1" customWidth="1"/>
    <col min="3" max="3" width="13.625" customWidth="1"/>
    <col min="4" max="4" width="13.125" customWidth="1"/>
    <col min="5" max="5" width="10.875" customWidth="1"/>
    <col min="6" max="6" width="12.25" customWidth="1"/>
    <col min="7" max="7" width="23.125" customWidth="1"/>
    <col min="8" max="8" width="12.5" customWidth="1"/>
    <col min="9" max="9" width="8.125" customWidth="1"/>
    <col min="10" max="10" width="4.625" customWidth="1"/>
    <col min="11" max="11" width="16.625" hidden="1" customWidth="1"/>
    <col min="12" max="12" width="16" hidden="1" customWidth="1"/>
    <col min="13" max="15" width="11" hidden="1" customWidth="1"/>
    <col min="16" max="16" width="19.625" hidden="1" customWidth="1"/>
    <col min="17" max="17" width="7.375" customWidth="1"/>
    <col min="18" max="18" width="9.625" customWidth="1"/>
    <col min="19" max="19" width="10" style="184" customWidth="1"/>
    <col min="20" max="20" width="9.625" customWidth="1"/>
    <col min="21" max="21" width="22.375" customWidth="1"/>
    <col min="22" max="22" width="15.5" hidden="1" customWidth="1"/>
    <col min="23" max="23" width="14.375" hidden="1" customWidth="1"/>
    <col min="24" max="24" width="16.75" hidden="1" customWidth="1"/>
    <col min="25" max="25" width="0" hidden="1" customWidth="1"/>
  </cols>
  <sheetData>
    <row r="1" spans="1:25" ht="33.75">
      <c r="A1" s="3" t="s">
        <v>0</v>
      </c>
      <c r="B1" s="3" t="s">
        <v>1</v>
      </c>
      <c r="C1" s="3" t="s">
        <v>2</v>
      </c>
      <c r="D1" s="3" t="s">
        <v>3</v>
      </c>
      <c r="E1" s="3" t="s">
        <v>4</v>
      </c>
      <c r="F1" s="3" t="s">
        <v>5</v>
      </c>
      <c r="G1" s="3" t="s">
        <v>6</v>
      </c>
      <c r="H1" s="3" t="s">
        <v>7</v>
      </c>
      <c r="I1" s="4" t="s">
        <v>434</v>
      </c>
      <c r="J1" s="4" t="s">
        <v>8</v>
      </c>
      <c r="K1" s="71" t="s">
        <v>691</v>
      </c>
      <c r="L1" s="91" t="s">
        <v>435</v>
      </c>
      <c r="M1" s="5" t="s">
        <v>436</v>
      </c>
      <c r="N1" s="5" t="s">
        <v>437</v>
      </c>
      <c r="O1" s="5" t="s">
        <v>679</v>
      </c>
      <c r="P1" s="2" t="s">
        <v>678</v>
      </c>
      <c r="Q1" s="2" t="s">
        <v>693</v>
      </c>
      <c r="R1" s="2" t="s">
        <v>956</v>
      </c>
      <c r="S1" s="181" t="s">
        <v>957</v>
      </c>
      <c r="T1" s="2" t="s">
        <v>958</v>
      </c>
      <c r="U1" s="5" t="s">
        <v>695</v>
      </c>
      <c r="V1" s="2" t="s">
        <v>1077</v>
      </c>
      <c r="W1" s="2" t="s">
        <v>1078</v>
      </c>
      <c r="X1" s="2" t="s">
        <v>1079</v>
      </c>
      <c r="Y1" s="2" t="s">
        <v>1080</v>
      </c>
    </row>
    <row r="2" spans="1:25" ht="26.25" customHeight="1">
      <c r="A2" s="179" t="s">
        <v>947</v>
      </c>
      <c r="B2" s="8">
        <v>4266714</v>
      </c>
      <c r="C2" s="8" t="s">
        <v>321</v>
      </c>
      <c r="D2" s="8" t="s">
        <v>291</v>
      </c>
      <c r="E2" s="8" t="s">
        <v>209</v>
      </c>
      <c r="F2" s="8" t="s">
        <v>99</v>
      </c>
      <c r="G2" s="224" t="s">
        <v>13</v>
      </c>
      <c r="H2" s="8" t="s">
        <v>14</v>
      </c>
      <c r="I2" s="70"/>
      <c r="J2" s="8">
        <v>30</v>
      </c>
      <c r="K2" s="172">
        <v>2465868</v>
      </c>
      <c r="L2" s="171">
        <v>2557954.36</v>
      </c>
      <c r="M2" s="9">
        <f t="shared" ref="M2:M34" si="0">+L2*10%</f>
        <v>255795.43599999999</v>
      </c>
      <c r="N2" s="9">
        <f t="shared" ref="N2:N34" si="1">+M2*19%</f>
        <v>48601.132839999998</v>
      </c>
      <c r="O2" s="9">
        <f t="shared" ref="O2:O34" si="2">+L2+M2+N2</f>
        <v>2862350.9288400002</v>
      </c>
      <c r="P2" s="9">
        <f t="shared" ref="P2:P64" si="3">+ROUND(((O2/30)*J2),0)</f>
        <v>2862351</v>
      </c>
      <c r="Q2" s="178"/>
      <c r="R2" s="207">
        <v>1390000</v>
      </c>
      <c r="S2" s="207">
        <v>1884844</v>
      </c>
      <c r="T2" s="216" t="s">
        <v>1012</v>
      </c>
      <c r="U2" s="9">
        <f>+ROUND(((L2/30)*J2),0)</f>
        <v>2557954</v>
      </c>
      <c r="V2" s="251">
        <f>+U2*10%</f>
        <v>255795.40000000002</v>
      </c>
      <c r="W2" s="251">
        <f>+V2*19%</f>
        <v>48601.126000000004</v>
      </c>
      <c r="X2" s="251">
        <f>+ROUND((U2+V2+W2),0)</f>
        <v>2862351</v>
      </c>
      <c r="Y2" s="251">
        <f>+X2-P2</f>
        <v>0</v>
      </c>
    </row>
    <row r="3" spans="1:25" ht="26.25" customHeight="1">
      <c r="A3" s="239" t="s">
        <v>947</v>
      </c>
      <c r="B3" s="8">
        <v>53005655</v>
      </c>
      <c r="C3" s="8" t="s">
        <v>52</v>
      </c>
      <c r="D3" s="8"/>
      <c r="E3" s="8" t="s">
        <v>53</v>
      </c>
      <c r="F3" s="8" t="s">
        <v>54</v>
      </c>
      <c r="G3" s="224" t="s">
        <v>191</v>
      </c>
      <c r="H3" s="8" t="s">
        <v>14</v>
      </c>
      <c r="I3" s="70"/>
      <c r="J3" s="8">
        <v>30</v>
      </c>
      <c r="K3" s="172">
        <v>2465868</v>
      </c>
      <c r="L3" s="171">
        <v>2557954.36</v>
      </c>
      <c r="M3" s="9">
        <f>+L3*10%</f>
        <v>255795.43599999999</v>
      </c>
      <c r="N3" s="9">
        <f>+M3*19%</f>
        <v>48601.132839999998</v>
      </c>
      <c r="O3" s="9">
        <f>+L3+M3+N3</f>
        <v>2862350.9288400002</v>
      </c>
      <c r="P3" s="9">
        <f>+ROUND(((O3/30)*J3),0)</f>
        <v>2862351</v>
      </c>
      <c r="Q3" s="178"/>
      <c r="R3" s="205">
        <v>1300000</v>
      </c>
      <c r="S3" s="207">
        <v>1855127</v>
      </c>
      <c r="T3" s="216" t="s">
        <v>1012</v>
      </c>
      <c r="U3" s="9">
        <f>+ROUND(((L3/30)*J3),0)</f>
        <v>2557954</v>
      </c>
      <c r="V3" s="251">
        <f t="shared" ref="V3:V66" si="4">+U3*10%</f>
        <v>255795.40000000002</v>
      </c>
      <c r="W3" s="251">
        <f t="shared" ref="W3:W66" si="5">+V3*19%</f>
        <v>48601.126000000004</v>
      </c>
      <c r="X3" s="251">
        <f t="shared" ref="X3:X66" si="6">+ROUND((U3+V3+W3),0)</f>
        <v>2862351</v>
      </c>
      <c r="Y3" s="251">
        <f t="shared" ref="Y3:Y66" si="7">+X3-P3</f>
        <v>0</v>
      </c>
    </row>
    <row r="4" spans="1:25" ht="26.25" customHeight="1">
      <c r="A4" s="179" t="s">
        <v>947</v>
      </c>
      <c r="B4" s="8">
        <v>35602050</v>
      </c>
      <c r="C4" s="8" t="s">
        <v>49</v>
      </c>
      <c r="D4" s="8" t="s">
        <v>50</v>
      </c>
      <c r="E4" s="8" t="s">
        <v>51</v>
      </c>
      <c r="F4" s="8"/>
      <c r="G4" s="224" t="s">
        <v>191</v>
      </c>
      <c r="H4" s="8" t="s">
        <v>14</v>
      </c>
      <c r="I4" s="70"/>
      <c r="J4" s="8">
        <v>30</v>
      </c>
      <c r="K4" s="172">
        <v>2465868</v>
      </c>
      <c r="L4" s="171">
        <v>2557954.36</v>
      </c>
      <c r="M4" s="9">
        <f t="shared" si="0"/>
        <v>255795.43599999999</v>
      </c>
      <c r="N4" s="9">
        <f t="shared" si="1"/>
        <v>48601.132839999998</v>
      </c>
      <c r="O4" s="9">
        <f t="shared" si="2"/>
        <v>2862350.9288400002</v>
      </c>
      <c r="P4" s="9">
        <f t="shared" si="3"/>
        <v>2862351</v>
      </c>
      <c r="Q4" s="178"/>
      <c r="R4" s="205">
        <v>1300000</v>
      </c>
      <c r="S4" s="207">
        <v>1776294</v>
      </c>
      <c r="T4" s="216" t="s">
        <v>1012</v>
      </c>
      <c r="U4" s="9">
        <f t="shared" ref="U4:U64" si="8">+ROUND(((L4/30)*J4),0)</f>
        <v>2557954</v>
      </c>
      <c r="V4" s="251">
        <f t="shared" si="4"/>
        <v>255795.40000000002</v>
      </c>
      <c r="W4" s="251">
        <f t="shared" si="5"/>
        <v>48601.126000000004</v>
      </c>
      <c r="X4" s="251">
        <f t="shared" si="6"/>
        <v>2862351</v>
      </c>
      <c r="Y4" s="251">
        <f t="shared" si="7"/>
        <v>0</v>
      </c>
    </row>
    <row r="5" spans="1:25" ht="26.25" customHeight="1">
      <c r="A5" s="179" t="s">
        <v>947</v>
      </c>
      <c r="B5" s="8">
        <v>37342544</v>
      </c>
      <c r="C5" s="8" t="s">
        <v>252</v>
      </c>
      <c r="D5" s="8"/>
      <c r="E5" s="8" t="s">
        <v>253</v>
      </c>
      <c r="F5" s="8"/>
      <c r="G5" s="224" t="s">
        <v>191</v>
      </c>
      <c r="H5" s="8" t="s">
        <v>14</v>
      </c>
      <c r="I5" s="70"/>
      <c r="J5" s="8">
        <v>30</v>
      </c>
      <c r="K5" s="172">
        <v>2465868</v>
      </c>
      <c r="L5" s="171">
        <v>2557954.36</v>
      </c>
      <c r="M5" s="9">
        <f t="shared" si="0"/>
        <v>255795.43599999999</v>
      </c>
      <c r="N5" s="9">
        <f t="shared" si="1"/>
        <v>48601.132839999998</v>
      </c>
      <c r="O5" s="9">
        <f t="shared" si="2"/>
        <v>2862350.9288400002</v>
      </c>
      <c r="P5" s="9">
        <f t="shared" si="3"/>
        <v>2862351</v>
      </c>
      <c r="Q5" s="178"/>
      <c r="R5" s="205">
        <v>1300000</v>
      </c>
      <c r="S5" s="207">
        <v>1776294</v>
      </c>
      <c r="T5" s="216" t="s">
        <v>1012</v>
      </c>
      <c r="U5" s="9">
        <f t="shared" si="8"/>
        <v>2557954</v>
      </c>
      <c r="V5" s="251">
        <f t="shared" si="4"/>
        <v>255795.40000000002</v>
      </c>
      <c r="W5" s="251">
        <f t="shared" si="5"/>
        <v>48601.126000000004</v>
      </c>
      <c r="X5" s="251">
        <f t="shared" si="6"/>
        <v>2862351</v>
      </c>
      <c r="Y5" s="251">
        <f t="shared" si="7"/>
        <v>0</v>
      </c>
    </row>
    <row r="6" spans="1:25" ht="26.25" customHeight="1">
      <c r="A6" s="179" t="s">
        <v>947</v>
      </c>
      <c r="B6" s="8">
        <v>39801161</v>
      </c>
      <c r="C6" s="8" t="s">
        <v>287</v>
      </c>
      <c r="D6" s="8" t="s">
        <v>122</v>
      </c>
      <c r="E6" s="8" t="s">
        <v>20</v>
      </c>
      <c r="F6" s="8" t="s">
        <v>167</v>
      </c>
      <c r="G6" s="224" t="s">
        <v>191</v>
      </c>
      <c r="H6" s="8" t="s">
        <v>354</v>
      </c>
      <c r="I6" s="70"/>
      <c r="J6" s="8">
        <v>30</v>
      </c>
      <c r="K6" s="172">
        <v>2465868</v>
      </c>
      <c r="L6" s="171">
        <v>2557954.36</v>
      </c>
      <c r="M6" s="9">
        <f t="shared" si="0"/>
        <v>255795.43599999999</v>
      </c>
      <c r="N6" s="9">
        <f t="shared" si="1"/>
        <v>48601.132839999998</v>
      </c>
      <c r="O6" s="9">
        <f t="shared" si="2"/>
        <v>2862350.9288400002</v>
      </c>
      <c r="P6" s="9">
        <f t="shared" si="3"/>
        <v>2862351</v>
      </c>
      <c r="Q6" s="178"/>
      <c r="R6" s="205">
        <v>1300000</v>
      </c>
      <c r="S6" s="219">
        <v>1768172</v>
      </c>
      <c r="T6" s="221" t="s">
        <v>1019</v>
      </c>
      <c r="U6" s="9">
        <f t="shared" si="8"/>
        <v>2557954</v>
      </c>
      <c r="V6" s="251">
        <f t="shared" si="4"/>
        <v>255795.40000000002</v>
      </c>
      <c r="W6" s="251">
        <f t="shared" si="5"/>
        <v>48601.126000000004</v>
      </c>
      <c r="X6" s="251">
        <f t="shared" si="6"/>
        <v>2862351</v>
      </c>
      <c r="Y6" s="251">
        <f t="shared" si="7"/>
        <v>0</v>
      </c>
    </row>
    <row r="7" spans="1:25" ht="26.25" customHeight="1">
      <c r="A7" s="179" t="s">
        <v>947</v>
      </c>
      <c r="B7" s="8">
        <v>51837271</v>
      </c>
      <c r="C7" s="8" t="s">
        <v>309</v>
      </c>
      <c r="D7" s="8" t="s">
        <v>257</v>
      </c>
      <c r="E7" s="8" t="s">
        <v>253</v>
      </c>
      <c r="F7" s="8" t="s">
        <v>310</v>
      </c>
      <c r="G7" s="224" t="s">
        <v>191</v>
      </c>
      <c r="H7" s="8" t="s">
        <v>14</v>
      </c>
      <c r="I7" s="70">
        <v>45454</v>
      </c>
      <c r="J7" s="237">
        <v>11</v>
      </c>
      <c r="K7" s="172">
        <v>2465868</v>
      </c>
      <c r="L7" s="171">
        <v>2557954.36</v>
      </c>
      <c r="M7" s="9">
        <f t="shared" si="0"/>
        <v>255795.43599999999</v>
      </c>
      <c r="N7" s="9">
        <f t="shared" si="1"/>
        <v>48601.132839999998</v>
      </c>
      <c r="O7" s="9">
        <f t="shared" si="2"/>
        <v>2862350.9288400002</v>
      </c>
      <c r="P7" s="9">
        <f t="shared" si="3"/>
        <v>1049529</v>
      </c>
      <c r="Q7" s="178" t="s">
        <v>1031</v>
      </c>
      <c r="R7" s="208">
        <v>476667</v>
      </c>
      <c r="S7" s="207">
        <v>1341418</v>
      </c>
      <c r="T7" s="216" t="s">
        <v>1009</v>
      </c>
      <c r="U7" s="9">
        <f t="shared" si="8"/>
        <v>937917</v>
      </c>
      <c r="V7" s="251">
        <f t="shared" si="4"/>
        <v>93791.700000000012</v>
      </c>
      <c r="W7" s="251">
        <f t="shared" si="5"/>
        <v>17820.423000000003</v>
      </c>
      <c r="X7" s="251">
        <f t="shared" si="6"/>
        <v>1049529</v>
      </c>
      <c r="Y7" s="251">
        <f t="shared" si="7"/>
        <v>0</v>
      </c>
    </row>
    <row r="8" spans="1:25" ht="26.25" customHeight="1">
      <c r="A8" s="179" t="s">
        <v>947</v>
      </c>
      <c r="B8" s="8">
        <v>65799487</v>
      </c>
      <c r="C8" s="8" t="s">
        <v>970</v>
      </c>
      <c r="D8" s="8" t="s">
        <v>171</v>
      </c>
      <c r="E8" s="8" t="s">
        <v>71</v>
      </c>
      <c r="F8" s="8" t="s">
        <v>105</v>
      </c>
      <c r="G8" s="224" t="s">
        <v>191</v>
      </c>
      <c r="H8" s="70">
        <v>45461</v>
      </c>
      <c r="I8" s="70"/>
      <c r="J8" s="237">
        <v>13</v>
      </c>
      <c r="K8" s="172">
        <v>2465868</v>
      </c>
      <c r="L8" s="171">
        <v>2557954.36</v>
      </c>
      <c r="M8" s="9">
        <f>+L8*10%</f>
        <v>255795.43599999999</v>
      </c>
      <c r="N8" s="9">
        <f>+M8*19%</f>
        <v>48601.132839999998</v>
      </c>
      <c r="O8" s="9">
        <f>+L8+M8+N8</f>
        <v>2862350.9288400002</v>
      </c>
      <c r="P8" s="9">
        <f>+ROUND(((O8/30)*J8),0)</f>
        <v>1240352</v>
      </c>
      <c r="Q8" s="178" t="s">
        <v>1032</v>
      </c>
      <c r="R8" s="208">
        <v>563334</v>
      </c>
      <c r="S8" s="219">
        <v>641261</v>
      </c>
      <c r="T8" s="221" t="s">
        <v>1016</v>
      </c>
      <c r="U8" s="9">
        <f>+ROUND(((L8/30)*J8),0)</f>
        <v>1108447</v>
      </c>
      <c r="V8" s="251">
        <f t="shared" si="4"/>
        <v>110844.70000000001</v>
      </c>
      <c r="W8" s="251">
        <f t="shared" si="5"/>
        <v>21060.493000000002</v>
      </c>
      <c r="X8" s="251">
        <f t="shared" si="6"/>
        <v>1240352</v>
      </c>
      <c r="Y8" s="251">
        <f t="shared" si="7"/>
        <v>0</v>
      </c>
    </row>
    <row r="9" spans="1:25" ht="26.25" customHeight="1">
      <c r="A9" s="179" t="s">
        <v>947</v>
      </c>
      <c r="B9" s="8">
        <v>51909861</v>
      </c>
      <c r="C9" s="8" t="s">
        <v>41</v>
      </c>
      <c r="D9" s="8"/>
      <c r="E9" s="8" t="s">
        <v>71</v>
      </c>
      <c r="F9" s="8" t="s">
        <v>433</v>
      </c>
      <c r="G9" s="224" t="s">
        <v>191</v>
      </c>
      <c r="H9" s="70">
        <v>45407</v>
      </c>
      <c r="I9" s="70"/>
      <c r="J9" s="237">
        <v>4</v>
      </c>
      <c r="K9" s="172">
        <v>2465868</v>
      </c>
      <c r="L9" s="171">
        <v>2557954.36</v>
      </c>
      <c r="M9" s="9">
        <f t="shared" si="0"/>
        <v>255795.43599999999</v>
      </c>
      <c r="N9" s="9">
        <f t="shared" si="1"/>
        <v>48601.132839999998</v>
      </c>
      <c r="O9" s="9">
        <f t="shared" si="2"/>
        <v>2862350.9288400002</v>
      </c>
      <c r="P9" s="9">
        <f t="shared" si="3"/>
        <v>381647</v>
      </c>
      <c r="Q9" s="178" t="s">
        <v>998</v>
      </c>
      <c r="R9" s="205">
        <v>1300000</v>
      </c>
      <c r="S9" s="207">
        <v>1626033</v>
      </c>
      <c r="T9" s="216" t="s">
        <v>1012</v>
      </c>
      <c r="U9" s="9">
        <f t="shared" si="8"/>
        <v>341061</v>
      </c>
      <c r="V9" s="251">
        <f t="shared" si="4"/>
        <v>34106.1</v>
      </c>
      <c r="W9" s="251">
        <f t="shared" si="5"/>
        <v>6480.1589999999997</v>
      </c>
      <c r="X9" s="251">
        <f t="shared" si="6"/>
        <v>381647</v>
      </c>
      <c r="Y9" s="251">
        <f t="shared" si="7"/>
        <v>0</v>
      </c>
    </row>
    <row r="10" spans="1:25" ht="26.25" customHeight="1">
      <c r="A10" s="179" t="s">
        <v>947</v>
      </c>
      <c r="B10" s="8">
        <v>1033745896</v>
      </c>
      <c r="C10" s="8" t="s">
        <v>971</v>
      </c>
      <c r="D10" s="8" t="s">
        <v>972</v>
      </c>
      <c r="E10" s="8" t="s">
        <v>973</v>
      </c>
      <c r="F10" s="8" t="s">
        <v>974</v>
      </c>
      <c r="G10" s="224" t="s">
        <v>191</v>
      </c>
      <c r="H10" s="70">
        <v>45444</v>
      </c>
      <c r="I10" s="70"/>
      <c r="J10" s="237">
        <v>26</v>
      </c>
      <c r="K10" s="172">
        <v>2465868</v>
      </c>
      <c r="L10" s="171">
        <v>2557954.36</v>
      </c>
      <c r="M10" s="9">
        <f t="shared" si="0"/>
        <v>255795.43599999999</v>
      </c>
      <c r="N10" s="9">
        <f t="shared" si="1"/>
        <v>48601.132839999998</v>
      </c>
      <c r="O10" s="9">
        <f t="shared" si="2"/>
        <v>2862350.9288400002</v>
      </c>
      <c r="P10" s="9">
        <f t="shared" si="3"/>
        <v>2480704</v>
      </c>
      <c r="Q10" s="178" t="s">
        <v>997</v>
      </c>
      <c r="R10" s="205">
        <v>1300000</v>
      </c>
      <c r="S10" s="207">
        <v>1479833</v>
      </c>
      <c r="T10" s="216" t="s">
        <v>1018</v>
      </c>
      <c r="U10" s="9">
        <f t="shared" si="8"/>
        <v>2216894</v>
      </c>
      <c r="V10" s="251">
        <f t="shared" si="4"/>
        <v>221689.40000000002</v>
      </c>
      <c r="W10" s="251">
        <f t="shared" si="5"/>
        <v>42120.986000000004</v>
      </c>
      <c r="X10" s="251">
        <f t="shared" si="6"/>
        <v>2480704</v>
      </c>
      <c r="Y10" s="251">
        <f t="shared" si="7"/>
        <v>0</v>
      </c>
    </row>
    <row r="11" spans="1:25" ht="26.25" customHeight="1">
      <c r="A11" s="179" t="s">
        <v>947</v>
      </c>
      <c r="B11" s="8">
        <v>1133674125</v>
      </c>
      <c r="C11" s="8" t="s">
        <v>171</v>
      </c>
      <c r="D11" s="8" t="s">
        <v>381</v>
      </c>
      <c r="E11" s="8" t="s">
        <v>109</v>
      </c>
      <c r="F11" s="8" t="s">
        <v>382</v>
      </c>
      <c r="G11" s="224" t="s">
        <v>210</v>
      </c>
      <c r="H11" s="8" t="s">
        <v>14</v>
      </c>
      <c r="I11" s="70"/>
      <c r="J11" s="8">
        <v>30</v>
      </c>
      <c r="K11" s="172">
        <v>2465868</v>
      </c>
      <c r="L11" s="171">
        <v>2557954.36</v>
      </c>
      <c r="M11" s="9">
        <f>+L11*10%</f>
        <v>255795.43599999999</v>
      </c>
      <c r="N11" s="9">
        <f>+M11*19%</f>
        <v>48601.132839999998</v>
      </c>
      <c r="O11" s="9">
        <f>+L11+M11+N11</f>
        <v>2862350.9288400002</v>
      </c>
      <c r="P11" s="9">
        <f>+ROUND(((O11/30)*J11),0)</f>
        <v>2862351</v>
      </c>
      <c r="Q11" s="178"/>
      <c r="R11" s="207">
        <v>1356000</v>
      </c>
      <c r="S11" s="207">
        <v>1843837</v>
      </c>
      <c r="T11" s="216" t="s">
        <v>1016</v>
      </c>
      <c r="U11" s="9">
        <f>+ROUND(((L11/30)*J11),0)</f>
        <v>2557954</v>
      </c>
      <c r="V11" s="251">
        <f t="shared" si="4"/>
        <v>255795.40000000002</v>
      </c>
      <c r="W11" s="251">
        <f t="shared" si="5"/>
        <v>48601.126000000004</v>
      </c>
      <c r="X11" s="251">
        <f t="shared" si="6"/>
        <v>2862351</v>
      </c>
      <c r="Y11" s="251">
        <f t="shared" si="7"/>
        <v>0</v>
      </c>
    </row>
    <row r="12" spans="1:25" ht="26.25" customHeight="1">
      <c r="A12" s="179" t="s">
        <v>947</v>
      </c>
      <c r="B12" s="8">
        <v>52292687</v>
      </c>
      <c r="C12" s="8" t="s">
        <v>318</v>
      </c>
      <c r="D12" s="8"/>
      <c r="E12" s="8" t="s">
        <v>47</v>
      </c>
      <c r="F12" s="8" t="s">
        <v>319</v>
      </c>
      <c r="G12" s="224" t="s">
        <v>191</v>
      </c>
      <c r="H12" s="8" t="s">
        <v>14</v>
      </c>
      <c r="I12" s="70"/>
      <c r="J12" s="8">
        <v>30</v>
      </c>
      <c r="K12" s="172">
        <v>2465868</v>
      </c>
      <c r="L12" s="171">
        <v>2557954.36</v>
      </c>
      <c r="M12" s="9">
        <f t="shared" si="0"/>
        <v>255795.43599999999</v>
      </c>
      <c r="N12" s="9">
        <f t="shared" si="1"/>
        <v>48601.132839999998</v>
      </c>
      <c r="O12" s="9">
        <f t="shared" si="2"/>
        <v>2862350.9288400002</v>
      </c>
      <c r="P12" s="9">
        <f t="shared" si="3"/>
        <v>2862351</v>
      </c>
      <c r="Q12" s="178"/>
      <c r="R12" s="205">
        <v>1300000</v>
      </c>
      <c r="S12" s="207">
        <v>1776294</v>
      </c>
      <c r="T12" s="216" t="s">
        <v>1012</v>
      </c>
      <c r="U12" s="9">
        <f t="shared" si="8"/>
        <v>2557954</v>
      </c>
      <c r="V12" s="251">
        <f t="shared" si="4"/>
        <v>255795.40000000002</v>
      </c>
      <c r="W12" s="251">
        <f t="shared" si="5"/>
        <v>48601.126000000004</v>
      </c>
      <c r="X12" s="251">
        <f t="shared" si="6"/>
        <v>2862351</v>
      </c>
      <c r="Y12" s="251">
        <f t="shared" si="7"/>
        <v>0</v>
      </c>
    </row>
    <row r="13" spans="1:25" ht="26.25" customHeight="1">
      <c r="A13" s="179" t="s">
        <v>947</v>
      </c>
      <c r="B13" s="8">
        <v>52343346</v>
      </c>
      <c r="C13" s="8" t="s">
        <v>19</v>
      </c>
      <c r="D13" s="8" t="s">
        <v>289</v>
      </c>
      <c r="E13" s="8" t="s">
        <v>71</v>
      </c>
      <c r="F13" s="8" t="s">
        <v>290</v>
      </c>
      <c r="G13" s="224" t="s">
        <v>191</v>
      </c>
      <c r="H13" s="8" t="s">
        <v>14</v>
      </c>
      <c r="I13" s="70"/>
      <c r="J13" s="8">
        <v>30</v>
      </c>
      <c r="K13" s="172">
        <v>2465868</v>
      </c>
      <c r="L13" s="171">
        <v>2557954.36</v>
      </c>
      <c r="M13" s="9">
        <f t="shared" si="0"/>
        <v>255795.43599999999</v>
      </c>
      <c r="N13" s="9">
        <f t="shared" si="1"/>
        <v>48601.132839999998</v>
      </c>
      <c r="O13" s="9">
        <f t="shared" si="2"/>
        <v>2862350.9288400002</v>
      </c>
      <c r="P13" s="9">
        <f t="shared" si="3"/>
        <v>2862351</v>
      </c>
      <c r="Q13" s="179"/>
      <c r="R13" s="205">
        <v>1300000</v>
      </c>
      <c r="S13" s="205">
        <v>2109543</v>
      </c>
      <c r="T13" s="218" t="s">
        <v>1012</v>
      </c>
      <c r="U13" s="9">
        <f t="shared" si="8"/>
        <v>2557954</v>
      </c>
      <c r="V13" s="251">
        <f t="shared" si="4"/>
        <v>255795.40000000002</v>
      </c>
      <c r="W13" s="251">
        <f t="shared" si="5"/>
        <v>48601.126000000004</v>
      </c>
      <c r="X13" s="251">
        <f t="shared" si="6"/>
        <v>2862351</v>
      </c>
      <c r="Y13" s="251">
        <f t="shared" si="7"/>
        <v>0</v>
      </c>
    </row>
    <row r="14" spans="1:25" ht="26.25" customHeight="1">
      <c r="A14" s="179" t="s">
        <v>947</v>
      </c>
      <c r="B14" s="8">
        <v>52348638</v>
      </c>
      <c r="C14" s="8" t="s">
        <v>114</v>
      </c>
      <c r="D14" s="8" t="s">
        <v>115</v>
      </c>
      <c r="E14" s="8" t="s">
        <v>116</v>
      </c>
      <c r="F14" s="8" t="s">
        <v>117</v>
      </c>
      <c r="G14" s="224" t="s">
        <v>191</v>
      </c>
      <c r="H14" s="8" t="s">
        <v>14</v>
      </c>
      <c r="I14" s="70"/>
      <c r="J14" s="8">
        <v>30</v>
      </c>
      <c r="K14" s="172">
        <v>2465868</v>
      </c>
      <c r="L14" s="171">
        <v>2557954.36</v>
      </c>
      <c r="M14" s="9">
        <f t="shared" si="0"/>
        <v>255795.43599999999</v>
      </c>
      <c r="N14" s="9">
        <f t="shared" si="1"/>
        <v>48601.132839999998</v>
      </c>
      <c r="O14" s="9">
        <f t="shared" si="2"/>
        <v>2862350.9288400002</v>
      </c>
      <c r="P14" s="9">
        <f t="shared" si="3"/>
        <v>2862351</v>
      </c>
      <c r="Q14" s="178"/>
      <c r="R14" s="205">
        <v>1300000</v>
      </c>
      <c r="S14" s="207">
        <v>1776294</v>
      </c>
      <c r="T14" s="216" t="s">
        <v>1012</v>
      </c>
      <c r="U14" s="9">
        <f t="shared" si="8"/>
        <v>2557954</v>
      </c>
      <c r="V14" s="251">
        <f t="shared" si="4"/>
        <v>255795.40000000002</v>
      </c>
      <c r="W14" s="251">
        <f t="shared" si="5"/>
        <v>48601.126000000004</v>
      </c>
      <c r="X14" s="251">
        <f t="shared" si="6"/>
        <v>2862351</v>
      </c>
      <c r="Y14" s="251">
        <f t="shared" si="7"/>
        <v>0</v>
      </c>
    </row>
    <row r="15" spans="1:25" ht="26.25" customHeight="1">
      <c r="A15" s="179" t="s">
        <v>947</v>
      </c>
      <c r="B15" s="8">
        <v>52505010</v>
      </c>
      <c r="C15" s="8" t="s">
        <v>135</v>
      </c>
      <c r="D15" s="8" t="s">
        <v>136</v>
      </c>
      <c r="E15" s="8" t="s">
        <v>137</v>
      </c>
      <c r="F15" s="8"/>
      <c r="G15" s="224" t="s">
        <v>191</v>
      </c>
      <c r="H15" s="8" t="s">
        <v>14</v>
      </c>
      <c r="I15" s="70"/>
      <c r="J15" s="8">
        <v>30</v>
      </c>
      <c r="K15" s="172">
        <v>2465868</v>
      </c>
      <c r="L15" s="171">
        <v>2557954.36</v>
      </c>
      <c r="M15" s="9">
        <f t="shared" si="0"/>
        <v>255795.43599999999</v>
      </c>
      <c r="N15" s="9">
        <f t="shared" si="1"/>
        <v>48601.132839999998</v>
      </c>
      <c r="O15" s="9">
        <f t="shared" si="2"/>
        <v>2862350.9288400002</v>
      </c>
      <c r="P15" s="9">
        <f t="shared" si="3"/>
        <v>2862351</v>
      </c>
      <c r="Q15" s="178"/>
      <c r="R15" s="205">
        <v>1300000</v>
      </c>
      <c r="S15" s="207">
        <v>1776294</v>
      </c>
      <c r="T15" s="216" t="s">
        <v>1015</v>
      </c>
      <c r="U15" s="9">
        <f t="shared" si="8"/>
        <v>2557954</v>
      </c>
      <c r="V15" s="251">
        <f t="shared" si="4"/>
        <v>255795.40000000002</v>
      </c>
      <c r="W15" s="251">
        <f t="shared" si="5"/>
        <v>48601.126000000004</v>
      </c>
      <c r="X15" s="251">
        <f t="shared" si="6"/>
        <v>2862351</v>
      </c>
      <c r="Y15" s="251">
        <f t="shared" si="7"/>
        <v>0</v>
      </c>
    </row>
    <row r="16" spans="1:25" ht="26.25" customHeight="1">
      <c r="A16" s="179" t="s">
        <v>947</v>
      </c>
      <c r="B16" s="8">
        <v>52704600</v>
      </c>
      <c r="C16" s="8" t="s">
        <v>325</v>
      </c>
      <c r="D16" s="8" t="s">
        <v>312</v>
      </c>
      <c r="E16" s="8" t="s">
        <v>326</v>
      </c>
      <c r="F16" s="8" t="s">
        <v>327</v>
      </c>
      <c r="G16" s="224" t="s">
        <v>191</v>
      </c>
      <c r="H16" s="8" t="s">
        <v>14</v>
      </c>
      <c r="I16" s="70"/>
      <c r="J16" s="237">
        <v>28</v>
      </c>
      <c r="K16" s="172">
        <v>2465868</v>
      </c>
      <c r="L16" s="171">
        <v>2557954.36</v>
      </c>
      <c r="M16" s="9">
        <f t="shared" si="0"/>
        <v>255795.43599999999</v>
      </c>
      <c r="N16" s="9">
        <f t="shared" si="1"/>
        <v>48601.132839999998</v>
      </c>
      <c r="O16" s="9">
        <f t="shared" si="2"/>
        <v>2862350.9288400002</v>
      </c>
      <c r="P16" s="9">
        <f t="shared" si="3"/>
        <v>2671528</v>
      </c>
      <c r="Q16" s="178" t="s">
        <v>1033</v>
      </c>
      <c r="R16" s="208">
        <f>1213334+86667</f>
        <v>1300001</v>
      </c>
      <c r="S16" s="207">
        <v>1664589</v>
      </c>
      <c r="T16" s="216" t="s">
        <v>1012</v>
      </c>
      <c r="U16" s="9">
        <f t="shared" si="8"/>
        <v>2387424</v>
      </c>
      <c r="V16" s="251">
        <f t="shared" si="4"/>
        <v>238742.40000000002</v>
      </c>
      <c r="W16" s="251">
        <f t="shared" si="5"/>
        <v>45361.056000000004</v>
      </c>
      <c r="X16" s="251">
        <f t="shared" si="6"/>
        <v>2671527</v>
      </c>
      <c r="Y16" s="251">
        <f t="shared" si="7"/>
        <v>-1</v>
      </c>
    </row>
    <row r="17" spans="1:25" ht="26.25" customHeight="1">
      <c r="A17" s="179" t="s">
        <v>947</v>
      </c>
      <c r="B17" s="8">
        <v>52734140</v>
      </c>
      <c r="C17" s="8" t="s">
        <v>69</v>
      </c>
      <c r="D17" s="8" t="s">
        <v>70</v>
      </c>
      <c r="E17" s="8" t="s">
        <v>71</v>
      </c>
      <c r="F17" s="8" t="s">
        <v>72</v>
      </c>
      <c r="G17" s="224" t="s">
        <v>191</v>
      </c>
      <c r="H17" s="8" t="s">
        <v>14</v>
      </c>
      <c r="I17" s="70"/>
      <c r="J17" s="8">
        <v>30</v>
      </c>
      <c r="K17" s="172">
        <v>2465868</v>
      </c>
      <c r="L17" s="171">
        <v>2557954.36</v>
      </c>
      <c r="M17" s="9">
        <f t="shared" si="0"/>
        <v>255795.43599999999</v>
      </c>
      <c r="N17" s="9">
        <f t="shared" si="1"/>
        <v>48601.132839999998</v>
      </c>
      <c r="O17" s="9">
        <f t="shared" si="2"/>
        <v>2862350.9288400002</v>
      </c>
      <c r="P17" s="9">
        <f t="shared" si="3"/>
        <v>2862351</v>
      </c>
      <c r="Q17" s="178"/>
      <c r="R17" s="205">
        <v>1300000</v>
      </c>
      <c r="S17" s="207">
        <v>1776294</v>
      </c>
      <c r="T17" s="216" t="s">
        <v>1012</v>
      </c>
      <c r="U17" s="9">
        <f t="shared" si="8"/>
        <v>2557954</v>
      </c>
      <c r="V17" s="251">
        <f t="shared" si="4"/>
        <v>255795.40000000002</v>
      </c>
      <c r="W17" s="251">
        <f t="shared" si="5"/>
        <v>48601.126000000004</v>
      </c>
      <c r="X17" s="251">
        <f t="shared" si="6"/>
        <v>2862351</v>
      </c>
      <c r="Y17" s="251">
        <f t="shared" si="7"/>
        <v>0</v>
      </c>
    </row>
    <row r="18" spans="1:25" ht="26.25" customHeight="1">
      <c r="A18" s="179" t="s">
        <v>947</v>
      </c>
      <c r="B18" s="8">
        <v>52751080</v>
      </c>
      <c r="C18" s="8" t="s">
        <v>336</v>
      </c>
      <c r="D18" s="8" t="s">
        <v>19</v>
      </c>
      <c r="E18" s="8" t="s">
        <v>337</v>
      </c>
      <c r="F18" s="8" t="s">
        <v>338</v>
      </c>
      <c r="G18" s="224" t="s">
        <v>191</v>
      </c>
      <c r="H18" s="8" t="s">
        <v>14</v>
      </c>
      <c r="I18" s="70"/>
      <c r="J18" s="168">
        <v>29</v>
      </c>
      <c r="K18" s="172">
        <v>2465868</v>
      </c>
      <c r="L18" s="171">
        <v>2557954.36</v>
      </c>
      <c r="M18" s="9">
        <f t="shared" si="0"/>
        <v>255795.43599999999</v>
      </c>
      <c r="N18" s="9">
        <f t="shared" si="1"/>
        <v>48601.132839999998</v>
      </c>
      <c r="O18" s="9">
        <f t="shared" si="2"/>
        <v>2862350.9288400002</v>
      </c>
      <c r="P18" s="9">
        <f t="shared" si="3"/>
        <v>2766939</v>
      </c>
      <c r="Q18" s="169" t="s">
        <v>1034</v>
      </c>
      <c r="R18" s="208">
        <f>1256667+86668</f>
        <v>1343335</v>
      </c>
      <c r="S18" s="207">
        <v>1813925</v>
      </c>
      <c r="T18" s="216" t="s">
        <v>1019</v>
      </c>
      <c r="U18" s="9">
        <f t="shared" si="8"/>
        <v>2472689</v>
      </c>
      <c r="V18" s="251">
        <f t="shared" si="4"/>
        <v>247268.90000000002</v>
      </c>
      <c r="W18" s="251">
        <f t="shared" si="5"/>
        <v>46981.091000000008</v>
      </c>
      <c r="X18" s="251">
        <f t="shared" si="6"/>
        <v>2766939</v>
      </c>
      <c r="Y18" s="251">
        <f t="shared" si="7"/>
        <v>0</v>
      </c>
    </row>
    <row r="19" spans="1:25" ht="26.25" customHeight="1">
      <c r="A19" s="204" t="s">
        <v>947</v>
      </c>
      <c r="B19" s="8">
        <v>52011281</v>
      </c>
      <c r="C19" s="8" t="s">
        <v>270</v>
      </c>
      <c r="D19" s="8"/>
      <c r="E19" s="8" t="s">
        <v>754</v>
      </c>
      <c r="F19" s="8"/>
      <c r="G19" s="8" t="s">
        <v>410</v>
      </c>
      <c r="H19" s="70"/>
      <c r="I19" s="70"/>
      <c r="J19" s="237">
        <v>1</v>
      </c>
      <c r="K19" s="172">
        <v>2465868</v>
      </c>
      <c r="L19" s="171">
        <v>2557954.36</v>
      </c>
      <c r="M19" s="9">
        <f>+L19*10%</f>
        <v>255795.43599999999</v>
      </c>
      <c r="N19" s="9">
        <f>+M19*19%</f>
        <v>48601.132839999998</v>
      </c>
      <c r="O19" s="9">
        <f>+L19+M19+N19</f>
        <v>2862350.9288400002</v>
      </c>
      <c r="P19" s="9">
        <f>+ROUND(((O19/30)*J19),0)</f>
        <v>95412</v>
      </c>
      <c r="Q19" s="186" t="s">
        <v>1035</v>
      </c>
      <c r="R19" s="214">
        <v>1300000</v>
      </c>
      <c r="S19" s="215">
        <v>1358000</v>
      </c>
      <c r="T19" s="186" t="s">
        <v>962</v>
      </c>
      <c r="U19" s="9">
        <f>+ROUND(((L19/30)*J19),0)</f>
        <v>85265</v>
      </c>
      <c r="V19" s="251">
        <f t="shared" si="4"/>
        <v>8526.5</v>
      </c>
      <c r="W19" s="251">
        <f t="shared" si="5"/>
        <v>1620.0350000000001</v>
      </c>
      <c r="X19" s="251">
        <f t="shared" si="6"/>
        <v>95412</v>
      </c>
      <c r="Y19" s="251">
        <f t="shared" si="7"/>
        <v>0</v>
      </c>
    </row>
    <row r="20" spans="1:25" ht="26.25" customHeight="1">
      <c r="A20" s="179" t="s">
        <v>947</v>
      </c>
      <c r="B20" s="8">
        <v>52776866</v>
      </c>
      <c r="C20" s="8" t="s">
        <v>346</v>
      </c>
      <c r="D20" s="8"/>
      <c r="E20" s="8" t="s">
        <v>347</v>
      </c>
      <c r="F20" s="8" t="s">
        <v>269</v>
      </c>
      <c r="G20" s="224" t="s">
        <v>191</v>
      </c>
      <c r="H20" s="8" t="s">
        <v>14</v>
      </c>
      <c r="I20" s="70"/>
      <c r="J20" s="8">
        <v>30</v>
      </c>
      <c r="K20" s="172">
        <v>2465868</v>
      </c>
      <c r="L20" s="171">
        <v>2557954.36</v>
      </c>
      <c r="M20" s="9">
        <f t="shared" si="0"/>
        <v>255795.43599999999</v>
      </c>
      <c r="N20" s="9">
        <f t="shared" si="1"/>
        <v>48601.132839999998</v>
      </c>
      <c r="O20" s="9">
        <f t="shared" si="2"/>
        <v>2862350.9288400002</v>
      </c>
      <c r="P20" s="9">
        <f t="shared" si="3"/>
        <v>2862351</v>
      </c>
      <c r="Q20" s="178"/>
      <c r="R20" s="205">
        <v>1300000</v>
      </c>
      <c r="S20" s="207">
        <v>1776294</v>
      </c>
      <c r="T20" s="216" t="s">
        <v>1012</v>
      </c>
      <c r="U20" s="9">
        <f t="shared" si="8"/>
        <v>2557954</v>
      </c>
      <c r="V20" s="251">
        <f t="shared" si="4"/>
        <v>255795.40000000002</v>
      </c>
      <c r="W20" s="251">
        <f t="shared" si="5"/>
        <v>48601.126000000004</v>
      </c>
      <c r="X20" s="251">
        <f t="shared" si="6"/>
        <v>2862351</v>
      </c>
      <c r="Y20" s="251">
        <f t="shared" si="7"/>
        <v>0</v>
      </c>
    </row>
    <row r="21" spans="1:25" ht="26.25" customHeight="1">
      <c r="A21" s="179" t="s">
        <v>947</v>
      </c>
      <c r="B21" s="8">
        <v>52870883</v>
      </c>
      <c r="C21" s="8" t="s">
        <v>64</v>
      </c>
      <c r="D21" s="8" t="s">
        <v>65</v>
      </c>
      <c r="E21" s="8" t="s">
        <v>66</v>
      </c>
      <c r="F21" s="8"/>
      <c r="G21" s="224" t="s">
        <v>191</v>
      </c>
      <c r="H21" s="8" t="s">
        <v>14</v>
      </c>
      <c r="I21" s="70"/>
      <c r="J21" s="237">
        <v>29</v>
      </c>
      <c r="K21" s="172">
        <v>2465868</v>
      </c>
      <c r="L21" s="171">
        <v>2557954.36</v>
      </c>
      <c r="M21" s="9">
        <f t="shared" si="0"/>
        <v>255795.43599999999</v>
      </c>
      <c r="N21" s="9">
        <f t="shared" si="1"/>
        <v>48601.132839999998</v>
      </c>
      <c r="O21" s="9">
        <f t="shared" si="2"/>
        <v>2862350.9288400002</v>
      </c>
      <c r="P21" s="9">
        <f t="shared" si="3"/>
        <v>2766939</v>
      </c>
      <c r="Q21" s="178" t="s">
        <v>1037</v>
      </c>
      <c r="R21" s="205">
        <v>1300000</v>
      </c>
      <c r="S21" s="207">
        <v>1776294</v>
      </c>
      <c r="T21" s="216" t="s">
        <v>1012</v>
      </c>
      <c r="U21" s="9">
        <f t="shared" si="8"/>
        <v>2472689</v>
      </c>
      <c r="V21" s="251">
        <f t="shared" si="4"/>
        <v>247268.90000000002</v>
      </c>
      <c r="W21" s="251">
        <f t="shared" si="5"/>
        <v>46981.091000000008</v>
      </c>
      <c r="X21" s="251">
        <f t="shared" si="6"/>
        <v>2766939</v>
      </c>
      <c r="Y21" s="251">
        <f t="shared" si="7"/>
        <v>0</v>
      </c>
    </row>
    <row r="22" spans="1:25" ht="26.25" customHeight="1">
      <c r="A22" s="179" t="s">
        <v>947</v>
      </c>
      <c r="B22" s="8">
        <v>52973679</v>
      </c>
      <c r="C22" s="8" t="s">
        <v>311</v>
      </c>
      <c r="D22" s="8" t="s">
        <v>189</v>
      </c>
      <c r="E22" s="8" t="s">
        <v>85</v>
      </c>
      <c r="F22" s="8" t="s">
        <v>230</v>
      </c>
      <c r="G22" s="224" t="s">
        <v>191</v>
      </c>
      <c r="H22" s="8" t="s">
        <v>14</v>
      </c>
      <c r="I22" s="70"/>
      <c r="J22" s="8">
        <v>30</v>
      </c>
      <c r="K22" s="172">
        <v>2465868</v>
      </c>
      <c r="L22" s="171">
        <v>2557954.36</v>
      </c>
      <c r="M22" s="9">
        <f t="shared" si="0"/>
        <v>255795.43599999999</v>
      </c>
      <c r="N22" s="9">
        <f t="shared" si="1"/>
        <v>48601.132839999998</v>
      </c>
      <c r="O22" s="9">
        <f t="shared" si="2"/>
        <v>2862350.9288400002</v>
      </c>
      <c r="P22" s="9">
        <f t="shared" si="3"/>
        <v>2862351</v>
      </c>
      <c r="Q22" s="178"/>
      <c r="R22" s="205">
        <v>1300000</v>
      </c>
      <c r="S22" s="207">
        <v>1776294</v>
      </c>
      <c r="T22" s="216" t="s">
        <v>1012</v>
      </c>
      <c r="U22" s="9">
        <f t="shared" si="8"/>
        <v>2557954</v>
      </c>
      <c r="V22" s="251">
        <f t="shared" si="4"/>
        <v>255795.40000000002</v>
      </c>
      <c r="W22" s="251">
        <f t="shared" si="5"/>
        <v>48601.126000000004</v>
      </c>
      <c r="X22" s="251">
        <f t="shared" si="6"/>
        <v>2862351</v>
      </c>
      <c r="Y22" s="251">
        <f t="shared" si="7"/>
        <v>0</v>
      </c>
    </row>
    <row r="23" spans="1:25" ht="26.25" customHeight="1">
      <c r="A23" s="179" t="s">
        <v>947</v>
      </c>
      <c r="B23" s="8">
        <v>64895144</v>
      </c>
      <c r="C23" s="8" t="s">
        <v>372</v>
      </c>
      <c r="D23" s="8" t="s">
        <v>373</v>
      </c>
      <c r="E23" s="8" t="s">
        <v>47</v>
      </c>
      <c r="F23" s="8" t="s">
        <v>374</v>
      </c>
      <c r="G23" s="224" t="s">
        <v>191</v>
      </c>
      <c r="H23" s="8" t="s">
        <v>354</v>
      </c>
      <c r="I23" s="70"/>
      <c r="J23" s="8">
        <v>30</v>
      </c>
      <c r="K23" s="172">
        <v>2465868</v>
      </c>
      <c r="L23" s="171">
        <v>2557954.36</v>
      </c>
      <c r="M23" s="9">
        <f t="shared" si="0"/>
        <v>255795.43599999999</v>
      </c>
      <c r="N23" s="9">
        <f t="shared" si="1"/>
        <v>48601.132839999998</v>
      </c>
      <c r="O23" s="9">
        <f t="shared" si="2"/>
        <v>2862350.9288400002</v>
      </c>
      <c r="P23" s="9">
        <f t="shared" si="3"/>
        <v>2862351</v>
      </c>
      <c r="Q23" s="178"/>
      <c r="R23" s="205">
        <v>1300000</v>
      </c>
      <c r="S23" s="207">
        <v>1768172</v>
      </c>
      <c r="T23" s="216" t="s">
        <v>1016</v>
      </c>
      <c r="U23" s="9">
        <f t="shared" si="8"/>
        <v>2557954</v>
      </c>
      <c r="V23" s="251">
        <f t="shared" si="4"/>
        <v>255795.40000000002</v>
      </c>
      <c r="W23" s="251">
        <f t="shared" si="5"/>
        <v>48601.126000000004</v>
      </c>
      <c r="X23" s="251">
        <f t="shared" si="6"/>
        <v>2862351</v>
      </c>
      <c r="Y23" s="251">
        <f t="shared" si="7"/>
        <v>0</v>
      </c>
    </row>
    <row r="24" spans="1:25" ht="26.25" customHeight="1">
      <c r="A24" s="179" t="s">
        <v>947</v>
      </c>
      <c r="B24" s="8">
        <v>79761257</v>
      </c>
      <c r="C24" s="8" t="s">
        <v>15</v>
      </c>
      <c r="D24" s="8" t="s">
        <v>16</v>
      </c>
      <c r="E24" s="8" t="s">
        <v>17</v>
      </c>
      <c r="F24" s="8" t="s">
        <v>18</v>
      </c>
      <c r="G24" s="224" t="s">
        <v>13</v>
      </c>
      <c r="H24" s="8" t="s">
        <v>14</v>
      </c>
      <c r="I24" s="70"/>
      <c r="J24" s="8">
        <v>30</v>
      </c>
      <c r="K24" s="172">
        <v>2465868</v>
      </c>
      <c r="L24" s="171">
        <v>2557954.36</v>
      </c>
      <c r="M24" s="9">
        <f t="shared" si="0"/>
        <v>255795.43599999999</v>
      </c>
      <c r="N24" s="9">
        <f t="shared" si="1"/>
        <v>48601.132839999998</v>
      </c>
      <c r="O24" s="9">
        <f t="shared" si="2"/>
        <v>2862350.9288400002</v>
      </c>
      <c r="P24" s="9">
        <f t="shared" si="3"/>
        <v>2862351</v>
      </c>
      <c r="Q24" s="178"/>
      <c r="R24" s="205">
        <v>1390000</v>
      </c>
      <c r="S24" s="207">
        <v>1884844</v>
      </c>
      <c r="T24" s="216" t="s">
        <v>1012</v>
      </c>
      <c r="U24" s="9">
        <f t="shared" si="8"/>
        <v>2557954</v>
      </c>
      <c r="V24" s="251">
        <f t="shared" si="4"/>
        <v>255795.40000000002</v>
      </c>
      <c r="W24" s="251">
        <f t="shared" si="5"/>
        <v>48601.126000000004</v>
      </c>
      <c r="X24" s="251">
        <f t="shared" si="6"/>
        <v>2862351</v>
      </c>
      <c r="Y24" s="251">
        <f t="shared" si="7"/>
        <v>0</v>
      </c>
    </row>
    <row r="25" spans="1:25" ht="26.25" customHeight="1">
      <c r="A25" s="179" t="s">
        <v>947</v>
      </c>
      <c r="B25" s="8">
        <v>79771060</v>
      </c>
      <c r="C25" s="8" t="s">
        <v>133</v>
      </c>
      <c r="D25" s="8" t="s">
        <v>73</v>
      </c>
      <c r="E25" s="8" t="s">
        <v>134</v>
      </c>
      <c r="F25" s="8"/>
      <c r="G25" s="224" t="s">
        <v>89</v>
      </c>
      <c r="H25" s="8" t="s">
        <v>14</v>
      </c>
      <c r="I25" s="70"/>
      <c r="J25" s="8">
        <v>30</v>
      </c>
      <c r="K25" s="172">
        <v>2465868</v>
      </c>
      <c r="L25" s="171">
        <v>2557954.36</v>
      </c>
      <c r="M25" s="9">
        <f t="shared" si="0"/>
        <v>255795.43599999999</v>
      </c>
      <c r="N25" s="9">
        <f t="shared" si="1"/>
        <v>48601.132839999998</v>
      </c>
      <c r="O25" s="9">
        <f t="shared" si="2"/>
        <v>2862350.9288400002</v>
      </c>
      <c r="P25" s="9">
        <f t="shared" si="3"/>
        <v>2862351</v>
      </c>
      <c r="Q25" s="178"/>
      <c r="R25" s="207">
        <f>45200+1310800</f>
        <v>1356000</v>
      </c>
      <c r="S25" s="207">
        <v>1843387</v>
      </c>
      <c r="T25" s="216" t="s">
        <v>1012</v>
      </c>
      <c r="U25" s="9">
        <f t="shared" si="8"/>
        <v>2557954</v>
      </c>
      <c r="V25" s="251">
        <f t="shared" si="4"/>
        <v>255795.40000000002</v>
      </c>
      <c r="W25" s="251">
        <f t="shared" si="5"/>
        <v>48601.126000000004</v>
      </c>
      <c r="X25" s="251">
        <f t="shared" si="6"/>
        <v>2862351</v>
      </c>
      <c r="Y25" s="251">
        <f t="shared" si="7"/>
        <v>0</v>
      </c>
    </row>
    <row r="26" spans="1:25" ht="26.25" customHeight="1">
      <c r="A26" s="179" t="s">
        <v>947</v>
      </c>
      <c r="B26" s="8">
        <v>80391453</v>
      </c>
      <c r="C26" s="8" t="s">
        <v>256</v>
      </c>
      <c r="D26" s="8" t="s">
        <v>257</v>
      </c>
      <c r="E26" s="8" t="s">
        <v>258</v>
      </c>
      <c r="F26" s="8"/>
      <c r="G26" s="224" t="s">
        <v>13</v>
      </c>
      <c r="H26" s="8" t="s">
        <v>14</v>
      </c>
      <c r="I26" s="70"/>
      <c r="J26" s="8">
        <v>30</v>
      </c>
      <c r="K26" s="172">
        <v>2465868</v>
      </c>
      <c r="L26" s="171">
        <v>2557954.36</v>
      </c>
      <c r="M26" s="9">
        <f t="shared" si="0"/>
        <v>255795.43599999999</v>
      </c>
      <c r="N26" s="9">
        <f t="shared" si="1"/>
        <v>48601.132839999998</v>
      </c>
      <c r="O26" s="9">
        <f t="shared" si="2"/>
        <v>2862350.9288400002</v>
      </c>
      <c r="P26" s="9">
        <f t="shared" si="3"/>
        <v>2862351</v>
      </c>
      <c r="Q26" s="178"/>
      <c r="R26" s="205">
        <v>1390000</v>
      </c>
      <c r="S26" s="207">
        <v>1884844</v>
      </c>
      <c r="T26" s="216" t="s">
        <v>1019</v>
      </c>
      <c r="U26" s="9">
        <f t="shared" si="8"/>
        <v>2557954</v>
      </c>
      <c r="V26" s="251">
        <f t="shared" si="4"/>
        <v>255795.40000000002</v>
      </c>
      <c r="W26" s="251">
        <f t="shared" si="5"/>
        <v>48601.126000000004</v>
      </c>
      <c r="X26" s="251">
        <f t="shared" si="6"/>
        <v>2862351</v>
      </c>
      <c r="Y26" s="251">
        <f t="shared" si="7"/>
        <v>0</v>
      </c>
    </row>
    <row r="27" spans="1:25" ht="26.25" customHeight="1">
      <c r="A27" s="179" t="s">
        <v>947</v>
      </c>
      <c r="B27" s="8">
        <v>80760738</v>
      </c>
      <c r="C27" s="8" t="s">
        <v>755</v>
      </c>
      <c r="D27" s="8"/>
      <c r="E27" s="8" t="s">
        <v>12</v>
      </c>
      <c r="F27" s="8" t="s">
        <v>681</v>
      </c>
      <c r="G27" s="224" t="s">
        <v>45</v>
      </c>
      <c r="H27" s="70">
        <v>45392</v>
      </c>
      <c r="I27" s="70"/>
      <c r="J27" s="8">
        <v>30</v>
      </c>
      <c r="K27" s="172">
        <v>2465868</v>
      </c>
      <c r="L27" s="171">
        <v>2557954.36</v>
      </c>
      <c r="M27" s="9">
        <f t="shared" si="0"/>
        <v>255795.43599999999</v>
      </c>
      <c r="N27" s="9">
        <f t="shared" si="1"/>
        <v>48601.132839999998</v>
      </c>
      <c r="O27" s="9">
        <f t="shared" si="2"/>
        <v>2862350.9288400002</v>
      </c>
      <c r="P27" s="9">
        <f t="shared" si="3"/>
        <v>2862351</v>
      </c>
      <c r="Q27" s="178"/>
      <c r="R27" s="207">
        <v>1401000</v>
      </c>
      <c r="S27" s="207">
        <v>2032595</v>
      </c>
      <c r="T27" s="216" t="s">
        <v>1012</v>
      </c>
      <c r="U27" s="9">
        <f t="shared" si="8"/>
        <v>2557954</v>
      </c>
      <c r="V27" s="251">
        <f t="shared" si="4"/>
        <v>255795.40000000002</v>
      </c>
      <c r="W27" s="251">
        <f t="shared" si="5"/>
        <v>48601.126000000004</v>
      </c>
      <c r="X27" s="251">
        <f t="shared" si="6"/>
        <v>2862351</v>
      </c>
      <c r="Y27" s="251">
        <f t="shared" si="7"/>
        <v>0</v>
      </c>
    </row>
    <row r="28" spans="1:25" ht="26.25" customHeight="1">
      <c r="A28" s="179" t="s">
        <v>947</v>
      </c>
      <c r="B28" s="8">
        <v>92260161</v>
      </c>
      <c r="C28" s="8" t="s">
        <v>150</v>
      </c>
      <c r="D28" s="8" t="s">
        <v>151</v>
      </c>
      <c r="E28" s="8" t="s">
        <v>152</v>
      </c>
      <c r="F28" s="8" t="s">
        <v>153</v>
      </c>
      <c r="G28" s="224" t="s">
        <v>13</v>
      </c>
      <c r="H28" s="8" t="s">
        <v>14</v>
      </c>
      <c r="I28" s="70"/>
      <c r="J28" s="8">
        <v>30</v>
      </c>
      <c r="K28" s="172">
        <v>2465868</v>
      </c>
      <c r="L28" s="171">
        <v>2557954.36</v>
      </c>
      <c r="M28" s="9">
        <f t="shared" si="0"/>
        <v>255795.43599999999</v>
      </c>
      <c r="N28" s="9">
        <f t="shared" si="1"/>
        <v>48601.132839999998</v>
      </c>
      <c r="O28" s="9">
        <f t="shared" si="2"/>
        <v>2862350.9288400002</v>
      </c>
      <c r="P28" s="9">
        <f t="shared" si="3"/>
        <v>2862351</v>
      </c>
      <c r="Q28" s="178"/>
      <c r="R28" s="205">
        <v>1390000</v>
      </c>
      <c r="S28" s="207">
        <v>1884844</v>
      </c>
      <c r="T28" s="216" t="s">
        <v>1016</v>
      </c>
      <c r="U28" s="9">
        <f t="shared" si="8"/>
        <v>2557954</v>
      </c>
      <c r="V28" s="251">
        <f t="shared" si="4"/>
        <v>255795.40000000002</v>
      </c>
      <c r="W28" s="251">
        <f t="shared" si="5"/>
        <v>48601.126000000004</v>
      </c>
      <c r="X28" s="251">
        <f t="shared" si="6"/>
        <v>2862351</v>
      </c>
      <c r="Y28" s="251">
        <f t="shared" si="7"/>
        <v>0</v>
      </c>
    </row>
    <row r="29" spans="1:25" ht="26.25" customHeight="1">
      <c r="A29" s="179" t="s">
        <v>947</v>
      </c>
      <c r="B29" s="8">
        <v>1005524136</v>
      </c>
      <c r="C29" s="8" t="s">
        <v>9</v>
      </c>
      <c r="D29" s="8" t="s">
        <v>10</v>
      </c>
      <c r="E29" s="8" t="s">
        <v>11</v>
      </c>
      <c r="F29" s="8" t="s">
        <v>12</v>
      </c>
      <c r="G29" s="224" t="s">
        <v>13</v>
      </c>
      <c r="H29" s="8" t="s">
        <v>14</v>
      </c>
      <c r="I29" s="70"/>
      <c r="J29" s="8">
        <v>30</v>
      </c>
      <c r="K29" s="172">
        <v>2465868</v>
      </c>
      <c r="L29" s="171">
        <v>2557954.36</v>
      </c>
      <c r="M29" s="9">
        <f t="shared" si="0"/>
        <v>255795.43599999999</v>
      </c>
      <c r="N29" s="9">
        <f t="shared" si="1"/>
        <v>48601.132839999998</v>
      </c>
      <c r="O29" s="9">
        <f t="shared" si="2"/>
        <v>2862350.9288400002</v>
      </c>
      <c r="P29" s="9">
        <f t="shared" si="3"/>
        <v>2862351</v>
      </c>
      <c r="Q29" s="178"/>
      <c r="R29" s="205">
        <v>1390000</v>
      </c>
      <c r="S29" s="207">
        <v>1884844</v>
      </c>
      <c r="T29" s="216" t="s">
        <v>1013</v>
      </c>
      <c r="U29" s="9">
        <f t="shared" si="8"/>
        <v>2557954</v>
      </c>
      <c r="V29" s="251">
        <f t="shared" si="4"/>
        <v>255795.40000000002</v>
      </c>
      <c r="W29" s="251">
        <f t="shared" si="5"/>
        <v>48601.126000000004</v>
      </c>
      <c r="X29" s="251">
        <f t="shared" si="6"/>
        <v>2862351</v>
      </c>
      <c r="Y29" s="251">
        <f t="shared" si="7"/>
        <v>0</v>
      </c>
    </row>
    <row r="30" spans="1:25" ht="26.25" customHeight="1">
      <c r="A30" s="239" t="s">
        <v>947</v>
      </c>
      <c r="B30" s="8">
        <v>1000831469</v>
      </c>
      <c r="C30" s="8" t="s">
        <v>946</v>
      </c>
      <c r="D30" s="8" t="s">
        <v>421</v>
      </c>
      <c r="E30" s="8" t="s">
        <v>422</v>
      </c>
      <c r="F30" s="8" t="s">
        <v>423</v>
      </c>
      <c r="G30" s="224" t="s">
        <v>13</v>
      </c>
      <c r="H30" s="70">
        <v>45395</v>
      </c>
      <c r="I30" s="70"/>
      <c r="J30" s="8">
        <v>30</v>
      </c>
      <c r="K30" s="172">
        <v>2465868</v>
      </c>
      <c r="L30" s="171">
        <v>2557954.36</v>
      </c>
      <c r="M30" s="9">
        <f>+L30*10%</f>
        <v>255795.43599999999</v>
      </c>
      <c r="N30" s="9">
        <f>+M30*19%</f>
        <v>48601.132839999998</v>
      </c>
      <c r="O30" s="9">
        <f>+L30+M30+N30</f>
        <v>2862350.9288400002</v>
      </c>
      <c r="P30" s="9">
        <f>+ROUND(((O30/30)*J30),0)</f>
        <v>2862351</v>
      </c>
      <c r="Q30" s="178"/>
      <c r="R30" s="207">
        <v>1390000</v>
      </c>
      <c r="S30" s="207">
        <v>1777067</v>
      </c>
      <c r="T30" s="216" t="s">
        <v>1016</v>
      </c>
      <c r="U30" s="9">
        <f>+ROUND(((L30/30)*J30),0)</f>
        <v>2557954</v>
      </c>
      <c r="V30" s="251">
        <f t="shared" si="4"/>
        <v>255795.40000000002</v>
      </c>
      <c r="W30" s="251">
        <f t="shared" si="5"/>
        <v>48601.126000000004</v>
      </c>
      <c r="X30" s="251">
        <f t="shared" si="6"/>
        <v>2862351</v>
      </c>
      <c r="Y30" s="251">
        <f t="shared" si="7"/>
        <v>0</v>
      </c>
    </row>
    <row r="31" spans="1:25" ht="26.25" customHeight="1">
      <c r="A31" s="179" t="s">
        <v>947</v>
      </c>
      <c r="B31" s="8">
        <v>1012331832</v>
      </c>
      <c r="C31" s="8" t="s">
        <v>231</v>
      </c>
      <c r="D31" s="8" t="s">
        <v>35</v>
      </c>
      <c r="E31" s="8" t="s">
        <v>232</v>
      </c>
      <c r="F31" s="8" t="s">
        <v>233</v>
      </c>
      <c r="G31" s="224" t="s">
        <v>191</v>
      </c>
      <c r="H31" s="8" t="s">
        <v>14</v>
      </c>
      <c r="I31" s="70"/>
      <c r="J31" s="8">
        <v>30</v>
      </c>
      <c r="K31" s="172">
        <v>2465868</v>
      </c>
      <c r="L31" s="171">
        <v>2557954.36</v>
      </c>
      <c r="M31" s="9">
        <f t="shared" si="0"/>
        <v>255795.43599999999</v>
      </c>
      <c r="N31" s="9">
        <f t="shared" si="1"/>
        <v>48601.132839999998</v>
      </c>
      <c r="O31" s="9">
        <f t="shared" si="2"/>
        <v>2862350.9288400002</v>
      </c>
      <c r="P31" s="9">
        <f t="shared" si="3"/>
        <v>2862351</v>
      </c>
      <c r="Q31" s="178"/>
      <c r="R31" s="205">
        <v>1300000</v>
      </c>
      <c r="S31" s="207">
        <v>1776294</v>
      </c>
      <c r="T31" s="216" t="s">
        <v>1012</v>
      </c>
      <c r="U31" s="9">
        <f t="shared" si="8"/>
        <v>2557954</v>
      </c>
      <c r="V31" s="251">
        <f t="shared" si="4"/>
        <v>255795.40000000002</v>
      </c>
      <c r="W31" s="251">
        <f t="shared" si="5"/>
        <v>48601.126000000004</v>
      </c>
      <c r="X31" s="251">
        <f t="shared" si="6"/>
        <v>2862351</v>
      </c>
      <c r="Y31" s="251">
        <f t="shared" si="7"/>
        <v>0</v>
      </c>
    </row>
    <row r="32" spans="1:25" ht="26.25" customHeight="1">
      <c r="A32" s="179" t="s">
        <v>947</v>
      </c>
      <c r="B32" s="8">
        <v>1016028720</v>
      </c>
      <c r="C32" s="8" t="s">
        <v>168</v>
      </c>
      <c r="D32" s="8" t="s">
        <v>174</v>
      </c>
      <c r="E32" s="8" t="s">
        <v>175</v>
      </c>
      <c r="F32" s="8" t="s">
        <v>176</v>
      </c>
      <c r="G32" s="224" t="s">
        <v>13</v>
      </c>
      <c r="H32" s="8" t="s">
        <v>14</v>
      </c>
      <c r="I32" s="70"/>
      <c r="J32" s="8">
        <v>30</v>
      </c>
      <c r="K32" s="172">
        <v>2465868</v>
      </c>
      <c r="L32" s="171">
        <v>2557954.36</v>
      </c>
      <c r="M32" s="9">
        <f t="shared" si="0"/>
        <v>255795.43599999999</v>
      </c>
      <c r="N32" s="9">
        <f t="shared" si="1"/>
        <v>48601.132839999998</v>
      </c>
      <c r="O32" s="9">
        <f t="shared" si="2"/>
        <v>2862350.9288400002</v>
      </c>
      <c r="P32" s="9">
        <f t="shared" si="3"/>
        <v>2862351</v>
      </c>
      <c r="Q32" s="178"/>
      <c r="R32" s="205">
        <v>1390000</v>
      </c>
      <c r="S32" s="207">
        <v>1884844</v>
      </c>
      <c r="T32" s="216" t="s">
        <v>1012</v>
      </c>
      <c r="U32" s="9">
        <f t="shared" si="8"/>
        <v>2557954</v>
      </c>
      <c r="V32" s="251">
        <f t="shared" si="4"/>
        <v>255795.40000000002</v>
      </c>
      <c r="W32" s="251">
        <f t="shared" si="5"/>
        <v>48601.126000000004</v>
      </c>
      <c r="X32" s="251">
        <f t="shared" si="6"/>
        <v>2862351</v>
      </c>
      <c r="Y32" s="251">
        <f t="shared" si="7"/>
        <v>0</v>
      </c>
    </row>
    <row r="33" spans="1:25" ht="26.25" customHeight="1">
      <c r="A33" s="179" t="s">
        <v>947</v>
      </c>
      <c r="B33" s="8">
        <v>1047443956</v>
      </c>
      <c r="C33" s="8" t="s">
        <v>168</v>
      </c>
      <c r="D33" s="8" t="s">
        <v>752</v>
      </c>
      <c r="E33" s="8" t="s">
        <v>753</v>
      </c>
      <c r="F33" s="8" t="s">
        <v>71</v>
      </c>
      <c r="G33" s="224" t="s">
        <v>191</v>
      </c>
      <c r="H33" s="70">
        <v>45426</v>
      </c>
      <c r="I33" s="70"/>
      <c r="J33" s="8">
        <v>30</v>
      </c>
      <c r="K33" s="172">
        <v>2465868</v>
      </c>
      <c r="L33" s="171">
        <v>2557954.36</v>
      </c>
      <c r="M33" s="9">
        <f>+L33*10%</f>
        <v>255795.43599999999</v>
      </c>
      <c r="N33" s="9">
        <f>+M33*19%</f>
        <v>48601.132839999998</v>
      </c>
      <c r="O33" s="9">
        <f>+L33+M33+N33</f>
        <v>2862350.9288400002</v>
      </c>
      <c r="P33" s="9">
        <f>+ROUND(((O33/30)*J33),0)</f>
        <v>2862351</v>
      </c>
      <c r="Q33" s="178"/>
      <c r="R33" s="205">
        <v>1300000</v>
      </c>
      <c r="S33" s="207">
        <v>1548872</v>
      </c>
      <c r="T33" s="216" t="s">
        <v>1012</v>
      </c>
      <c r="U33" s="9">
        <f>+ROUND(((L33/30)*J33),0)</f>
        <v>2557954</v>
      </c>
      <c r="V33" s="251">
        <f t="shared" si="4"/>
        <v>255795.40000000002</v>
      </c>
      <c r="W33" s="251">
        <f t="shared" si="5"/>
        <v>48601.126000000004</v>
      </c>
      <c r="X33" s="251">
        <f t="shared" si="6"/>
        <v>2862351</v>
      </c>
      <c r="Y33" s="251">
        <f t="shared" si="7"/>
        <v>0</v>
      </c>
    </row>
    <row r="34" spans="1:25" ht="26.25" customHeight="1">
      <c r="A34" s="179" t="s">
        <v>947</v>
      </c>
      <c r="B34" s="8">
        <v>1022363890</v>
      </c>
      <c r="C34" s="8" t="s">
        <v>199</v>
      </c>
      <c r="D34" s="8" t="s">
        <v>200</v>
      </c>
      <c r="E34" s="8" t="s">
        <v>201</v>
      </c>
      <c r="F34" s="8" t="s">
        <v>202</v>
      </c>
      <c r="G34" s="224" t="s">
        <v>191</v>
      </c>
      <c r="H34" s="8" t="s">
        <v>14</v>
      </c>
      <c r="I34" s="70"/>
      <c r="J34" s="8">
        <v>30</v>
      </c>
      <c r="K34" s="172">
        <v>2465868</v>
      </c>
      <c r="L34" s="171">
        <v>2557954.36</v>
      </c>
      <c r="M34" s="9">
        <f t="shared" si="0"/>
        <v>255795.43599999999</v>
      </c>
      <c r="N34" s="9">
        <f t="shared" si="1"/>
        <v>48601.132839999998</v>
      </c>
      <c r="O34" s="9">
        <f t="shared" si="2"/>
        <v>2862350.9288400002</v>
      </c>
      <c r="P34" s="9">
        <f t="shared" si="3"/>
        <v>2862351</v>
      </c>
      <c r="Q34" s="178"/>
      <c r="R34" s="205">
        <v>1300000</v>
      </c>
      <c r="S34" s="207">
        <v>1775394</v>
      </c>
      <c r="T34" s="216" t="s">
        <v>1012</v>
      </c>
      <c r="U34" s="9">
        <f t="shared" si="8"/>
        <v>2557954</v>
      </c>
      <c r="V34" s="251">
        <f t="shared" si="4"/>
        <v>255795.40000000002</v>
      </c>
      <c r="W34" s="251">
        <f t="shared" si="5"/>
        <v>48601.126000000004</v>
      </c>
      <c r="X34" s="251">
        <f t="shared" si="6"/>
        <v>2862351</v>
      </c>
      <c r="Y34" s="251">
        <f t="shared" si="7"/>
        <v>0</v>
      </c>
    </row>
    <row r="35" spans="1:25" ht="26.25" customHeight="1">
      <c r="A35" s="179" t="s">
        <v>947</v>
      </c>
      <c r="B35" s="8">
        <v>1023928463</v>
      </c>
      <c r="C35" s="8" t="s">
        <v>107</v>
      </c>
      <c r="D35" s="8" t="s">
        <v>108</v>
      </c>
      <c r="E35" s="8" t="s">
        <v>109</v>
      </c>
      <c r="F35" s="8" t="s">
        <v>110</v>
      </c>
      <c r="G35" s="224" t="s">
        <v>191</v>
      </c>
      <c r="H35" s="8" t="s">
        <v>14</v>
      </c>
      <c r="I35" s="70"/>
      <c r="J35" s="8">
        <v>30</v>
      </c>
      <c r="K35" s="172">
        <v>2465868</v>
      </c>
      <c r="L35" s="171">
        <v>2557954.36</v>
      </c>
      <c r="M35" s="9">
        <f t="shared" ref="M35:M64" si="9">+L35*10%</f>
        <v>255795.43599999999</v>
      </c>
      <c r="N35" s="9">
        <f t="shared" ref="N35:N64" si="10">+M35*19%</f>
        <v>48601.132839999998</v>
      </c>
      <c r="O35" s="9">
        <f t="shared" ref="O35:O64" si="11">+L35+M35+N35</f>
        <v>2862350.9288400002</v>
      </c>
      <c r="P35" s="9">
        <f t="shared" si="3"/>
        <v>2862351</v>
      </c>
      <c r="Q35" s="178"/>
      <c r="R35" s="205">
        <v>1300000</v>
      </c>
      <c r="S35" s="207">
        <v>1776294</v>
      </c>
      <c r="T35" s="216" t="s">
        <v>1012</v>
      </c>
      <c r="U35" s="9">
        <f t="shared" si="8"/>
        <v>2557954</v>
      </c>
      <c r="V35" s="251">
        <f t="shared" si="4"/>
        <v>255795.40000000002</v>
      </c>
      <c r="W35" s="251">
        <f t="shared" si="5"/>
        <v>48601.126000000004</v>
      </c>
      <c r="X35" s="251">
        <f t="shared" si="6"/>
        <v>2862351</v>
      </c>
      <c r="Y35" s="251">
        <f t="shared" si="7"/>
        <v>0</v>
      </c>
    </row>
    <row r="36" spans="1:25" ht="26.25" customHeight="1">
      <c r="A36" s="179" t="s">
        <v>947</v>
      </c>
      <c r="B36" s="8">
        <v>1024477933</v>
      </c>
      <c r="C36" s="8" t="s">
        <v>224</v>
      </c>
      <c r="D36" s="8" t="s">
        <v>225</v>
      </c>
      <c r="E36" s="8" t="s">
        <v>226</v>
      </c>
      <c r="F36" s="8" t="s">
        <v>12</v>
      </c>
      <c r="G36" s="224" t="s">
        <v>13</v>
      </c>
      <c r="H36" s="8" t="s">
        <v>14</v>
      </c>
      <c r="I36" s="70"/>
      <c r="J36" s="8">
        <v>30</v>
      </c>
      <c r="K36" s="172">
        <v>2465868</v>
      </c>
      <c r="L36" s="171">
        <v>2557954.36</v>
      </c>
      <c r="M36" s="9">
        <f t="shared" si="9"/>
        <v>255795.43599999999</v>
      </c>
      <c r="N36" s="9">
        <f t="shared" si="10"/>
        <v>48601.132839999998</v>
      </c>
      <c r="O36" s="9">
        <f t="shared" si="11"/>
        <v>2862350.9288400002</v>
      </c>
      <c r="P36" s="9">
        <f t="shared" si="3"/>
        <v>2862351</v>
      </c>
      <c r="Q36" s="178"/>
      <c r="R36" s="205">
        <v>1390000</v>
      </c>
      <c r="S36" s="207">
        <v>1882594</v>
      </c>
      <c r="T36" s="216" t="s">
        <v>1012</v>
      </c>
      <c r="U36" s="9">
        <f t="shared" si="8"/>
        <v>2557954</v>
      </c>
      <c r="V36" s="251">
        <f t="shared" si="4"/>
        <v>255795.40000000002</v>
      </c>
      <c r="W36" s="251">
        <f t="shared" si="5"/>
        <v>48601.126000000004</v>
      </c>
      <c r="X36" s="251">
        <f t="shared" si="6"/>
        <v>2862351</v>
      </c>
      <c r="Y36" s="251">
        <f t="shared" si="7"/>
        <v>0</v>
      </c>
    </row>
    <row r="37" spans="1:25" ht="26.25" customHeight="1">
      <c r="A37" s="179" t="s">
        <v>947</v>
      </c>
      <c r="B37" s="8">
        <v>1024483297</v>
      </c>
      <c r="C37" s="8" t="s">
        <v>304</v>
      </c>
      <c r="D37" s="8" t="s">
        <v>305</v>
      </c>
      <c r="E37" s="8" t="s">
        <v>290</v>
      </c>
      <c r="F37" s="8"/>
      <c r="G37" s="224" t="s">
        <v>45</v>
      </c>
      <c r="H37" s="70">
        <v>45404</v>
      </c>
      <c r="I37" s="70"/>
      <c r="J37" s="8">
        <v>30</v>
      </c>
      <c r="K37" s="172">
        <v>2465868</v>
      </c>
      <c r="L37" s="171">
        <v>2557954.36</v>
      </c>
      <c r="M37" s="9">
        <f t="shared" si="9"/>
        <v>255795.43599999999</v>
      </c>
      <c r="N37" s="9">
        <f t="shared" si="10"/>
        <v>48601.132839999998</v>
      </c>
      <c r="O37" s="9">
        <f t="shared" si="11"/>
        <v>2862350.9288400002</v>
      </c>
      <c r="P37" s="9">
        <f t="shared" si="3"/>
        <v>2862351</v>
      </c>
      <c r="Q37" s="178"/>
      <c r="R37" s="207">
        <v>1401000</v>
      </c>
      <c r="S37" s="207">
        <v>2118573</v>
      </c>
      <c r="T37" s="216" t="s">
        <v>1012</v>
      </c>
      <c r="U37" s="9">
        <f t="shared" si="8"/>
        <v>2557954</v>
      </c>
      <c r="V37" s="251">
        <f t="shared" si="4"/>
        <v>255795.40000000002</v>
      </c>
      <c r="W37" s="251">
        <f t="shared" si="5"/>
        <v>48601.126000000004</v>
      </c>
      <c r="X37" s="251">
        <f t="shared" si="6"/>
        <v>2862351</v>
      </c>
      <c r="Y37" s="251">
        <f t="shared" si="7"/>
        <v>0</v>
      </c>
    </row>
    <row r="38" spans="1:25" ht="26.25" customHeight="1">
      <c r="A38" s="179" t="s">
        <v>947</v>
      </c>
      <c r="B38" s="8">
        <v>1031148383</v>
      </c>
      <c r="C38" s="8" t="s">
        <v>363</v>
      </c>
      <c r="D38" s="8" t="s">
        <v>364</v>
      </c>
      <c r="E38" s="8" t="s">
        <v>365</v>
      </c>
      <c r="F38" s="8" t="s">
        <v>222</v>
      </c>
      <c r="G38" s="8" t="s">
        <v>191</v>
      </c>
      <c r="H38" s="8" t="s">
        <v>354</v>
      </c>
      <c r="I38" s="70">
        <v>45466</v>
      </c>
      <c r="J38" s="237">
        <v>19</v>
      </c>
      <c r="K38" s="172">
        <v>2465868</v>
      </c>
      <c r="L38" s="171">
        <v>2557954.36</v>
      </c>
      <c r="M38" s="9">
        <f t="shared" si="9"/>
        <v>255795.43599999999</v>
      </c>
      <c r="N38" s="9">
        <f t="shared" si="10"/>
        <v>48601.132839999998</v>
      </c>
      <c r="O38" s="9">
        <f t="shared" si="11"/>
        <v>2862350.9288400002</v>
      </c>
      <c r="P38" s="9">
        <f t="shared" si="3"/>
        <v>1812822</v>
      </c>
      <c r="Q38" s="178" t="s">
        <v>1038</v>
      </c>
      <c r="R38" s="209">
        <f>996667+86667+86667+43334+43334+43334</f>
        <v>1300003</v>
      </c>
      <c r="S38" s="207">
        <v>1416566</v>
      </c>
      <c r="T38" s="216" t="s">
        <v>1011</v>
      </c>
      <c r="U38" s="9">
        <f t="shared" si="8"/>
        <v>1620038</v>
      </c>
      <c r="V38" s="251">
        <f t="shared" si="4"/>
        <v>162003.80000000002</v>
      </c>
      <c r="W38" s="251">
        <f t="shared" si="5"/>
        <v>30780.722000000005</v>
      </c>
      <c r="X38" s="251">
        <f t="shared" si="6"/>
        <v>1812823</v>
      </c>
      <c r="Y38" s="251">
        <f t="shared" si="7"/>
        <v>1</v>
      </c>
    </row>
    <row r="39" spans="1:25" ht="26.25" customHeight="1">
      <c r="A39" s="179" t="s">
        <v>947</v>
      </c>
      <c r="B39" s="8">
        <v>1032365672</v>
      </c>
      <c r="C39" s="8" t="s">
        <v>67</v>
      </c>
      <c r="D39" s="8"/>
      <c r="E39" s="8" t="s">
        <v>68</v>
      </c>
      <c r="F39" s="8"/>
      <c r="G39" s="224" t="s">
        <v>191</v>
      </c>
      <c r="H39" s="8" t="s">
        <v>14</v>
      </c>
      <c r="I39" s="70"/>
      <c r="J39" s="8">
        <v>30</v>
      </c>
      <c r="K39" s="172">
        <v>2465868</v>
      </c>
      <c r="L39" s="171">
        <v>2557954.36</v>
      </c>
      <c r="M39" s="9">
        <f t="shared" si="9"/>
        <v>255795.43599999999</v>
      </c>
      <c r="N39" s="9">
        <f t="shared" si="10"/>
        <v>48601.132839999998</v>
      </c>
      <c r="O39" s="9">
        <f t="shared" si="11"/>
        <v>2862350.9288400002</v>
      </c>
      <c r="P39" s="9">
        <f t="shared" si="3"/>
        <v>2862351</v>
      </c>
      <c r="Q39" s="178"/>
      <c r="R39" s="205">
        <v>1300000</v>
      </c>
      <c r="S39" s="207">
        <v>1776294</v>
      </c>
      <c r="T39" s="216" t="s">
        <v>1012</v>
      </c>
      <c r="U39" s="9">
        <f t="shared" si="8"/>
        <v>2557954</v>
      </c>
      <c r="V39" s="251">
        <f t="shared" si="4"/>
        <v>255795.40000000002</v>
      </c>
      <c r="W39" s="251">
        <f t="shared" si="5"/>
        <v>48601.126000000004</v>
      </c>
      <c r="X39" s="251">
        <f t="shared" si="6"/>
        <v>2862351</v>
      </c>
      <c r="Y39" s="251">
        <f t="shared" si="7"/>
        <v>0</v>
      </c>
    </row>
    <row r="40" spans="1:25" ht="26.25" customHeight="1">
      <c r="A40" s="179" t="s">
        <v>947</v>
      </c>
      <c r="B40" s="8">
        <v>1032432651</v>
      </c>
      <c r="C40" s="8" t="s">
        <v>163</v>
      </c>
      <c r="D40" s="8" t="s">
        <v>107</v>
      </c>
      <c r="E40" s="8" t="s">
        <v>164</v>
      </c>
      <c r="F40" s="8" t="s">
        <v>165</v>
      </c>
      <c r="G40" s="224" t="s">
        <v>13</v>
      </c>
      <c r="H40" s="8" t="s">
        <v>14</v>
      </c>
      <c r="I40" s="70"/>
      <c r="J40" s="8">
        <v>30</v>
      </c>
      <c r="K40" s="172">
        <v>2465868</v>
      </c>
      <c r="L40" s="171">
        <v>2557954.36</v>
      </c>
      <c r="M40" s="9">
        <f t="shared" si="9"/>
        <v>255795.43599999999</v>
      </c>
      <c r="N40" s="9">
        <f t="shared" si="10"/>
        <v>48601.132839999998</v>
      </c>
      <c r="O40" s="9">
        <f t="shared" si="11"/>
        <v>2862350.9288400002</v>
      </c>
      <c r="P40" s="9">
        <f t="shared" si="3"/>
        <v>2862351</v>
      </c>
      <c r="Q40" s="178"/>
      <c r="R40" s="205">
        <v>1390000</v>
      </c>
      <c r="S40" s="207">
        <v>1884844</v>
      </c>
      <c r="T40" s="216" t="s">
        <v>1012</v>
      </c>
      <c r="U40" s="9">
        <f t="shared" si="8"/>
        <v>2557954</v>
      </c>
      <c r="V40" s="251">
        <f t="shared" si="4"/>
        <v>255795.40000000002</v>
      </c>
      <c r="W40" s="251">
        <f t="shared" si="5"/>
        <v>48601.126000000004</v>
      </c>
      <c r="X40" s="251">
        <f t="shared" si="6"/>
        <v>2862351</v>
      </c>
      <c r="Y40" s="251">
        <f t="shared" si="7"/>
        <v>0</v>
      </c>
    </row>
    <row r="41" spans="1:25" ht="26.25" customHeight="1">
      <c r="A41" s="179" t="s">
        <v>947</v>
      </c>
      <c r="B41" s="8">
        <v>1033681788</v>
      </c>
      <c r="C41" s="8" t="s">
        <v>55</v>
      </c>
      <c r="D41" s="8" t="s">
        <v>56</v>
      </c>
      <c r="E41" s="8" t="s">
        <v>33</v>
      </c>
      <c r="F41" s="8" t="s">
        <v>57</v>
      </c>
      <c r="G41" s="224" t="s">
        <v>191</v>
      </c>
      <c r="H41" s="8" t="s">
        <v>14</v>
      </c>
      <c r="I41" s="70"/>
      <c r="J41" s="237">
        <v>23</v>
      </c>
      <c r="K41" s="172">
        <v>2465868</v>
      </c>
      <c r="L41" s="171">
        <v>2557954.36</v>
      </c>
      <c r="M41" s="9">
        <f t="shared" si="9"/>
        <v>255795.43599999999</v>
      </c>
      <c r="N41" s="9">
        <f t="shared" si="10"/>
        <v>48601.132839999998</v>
      </c>
      <c r="O41" s="9">
        <f t="shared" si="11"/>
        <v>2862350.9288400002</v>
      </c>
      <c r="P41" s="9">
        <f>+ROUND(((O41/30)*J41),0)</f>
        <v>2194469</v>
      </c>
      <c r="Q41" s="178" t="s">
        <v>1039</v>
      </c>
      <c r="R41" s="208">
        <f>996667+173334+130000</f>
        <v>1300001</v>
      </c>
      <c r="S41" s="207">
        <v>1575877</v>
      </c>
      <c r="T41" s="216" t="s">
        <v>1012</v>
      </c>
      <c r="U41" s="9">
        <f t="shared" si="8"/>
        <v>1961098</v>
      </c>
      <c r="V41" s="251">
        <f t="shared" si="4"/>
        <v>196109.80000000002</v>
      </c>
      <c r="W41" s="251">
        <f t="shared" si="5"/>
        <v>37260.862000000001</v>
      </c>
      <c r="X41" s="251">
        <f t="shared" si="6"/>
        <v>2194469</v>
      </c>
      <c r="Y41" s="251">
        <f t="shared" si="7"/>
        <v>0</v>
      </c>
    </row>
    <row r="42" spans="1:25" ht="26.25" customHeight="1">
      <c r="A42" s="179" t="s">
        <v>947</v>
      </c>
      <c r="B42" s="8">
        <v>1033717516</v>
      </c>
      <c r="C42" s="8" t="s">
        <v>399</v>
      </c>
      <c r="D42" s="8" t="s">
        <v>400</v>
      </c>
      <c r="E42" s="8" t="s">
        <v>401</v>
      </c>
      <c r="F42" s="8" t="s">
        <v>223</v>
      </c>
      <c r="G42" s="224" t="s">
        <v>191</v>
      </c>
      <c r="H42" s="8" t="s">
        <v>393</v>
      </c>
      <c r="I42" s="70"/>
      <c r="J42" s="237">
        <v>19</v>
      </c>
      <c r="K42" s="172">
        <v>2465868</v>
      </c>
      <c r="L42" s="171">
        <v>2557954.36</v>
      </c>
      <c r="M42" s="9">
        <f t="shared" si="9"/>
        <v>255795.43599999999</v>
      </c>
      <c r="N42" s="9">
        <f t="shared" si="10"/>
        <v>48601.132839999998</v>
      </c>
      <c r="O42" s="9">
        <f t="shared" si="11"/>
        <v>2862350.9288400002</v>
      </c>
      <c r="P42" s="9">
        <f t="shared" si="3"/>
        <v>1812822</v>
      </c>
      <c r="Q42" s="178" t="s">
        <v>1040</v>
      </c>
      <c r="R42" s="208">
        <f>866667+173334+130000+130000</f>
        <v>1300001</v>
      </c>
      <c r="S42" s="207">
        <v>1577889</v>
      </c>
      <c r="T42" s="216" t="s">
        <v>1015</v>
      </c>
      <c r="U42" s="9">
        <f t="shared" si="8"/>
        <v>1620038</v>
      </c>
      <c r="V42" s="251">
        <f t="shared" si="4"/>
        <v>162003.80000000002</v>
      </c>
      <c r="W42" s="251">
        <f t="shared" si="5"/>
        <v>30780.722000000005</v>
      </c>
      <c r="X42" s="251">
        <f t="shared" si="6"/>
        <v>1812823</v>
      </c>
      <c r="Y42" s="251">
        <f t="shared" si="7"/>
        <v>1</v>
      </c>
    </row>
    <row r="43" spans="1:25" ht="26.25" customHeight="1">
      <c r="A43" s="179" t="s">
        <v>947</v>
      </c>
      <c r="B43" s="8">
        <v>1033734646</v>
      </c>
      <c r="C43" s="8" t="s">
        <v>306</v>
      </c>
      <c r="D43" s="8" t="s">
        <v>307</v>
      </c>
      <c r="E43" s="8" t="s">
        <v>308</v>
      </c>
      <c r="F43" s="8"/>
      <c r="G43" s="224" t="s">
        <v>191</v>
      </c>
      <c r="H43" s="8" t="s">
        <v>14</v>
      </c>
      <c r="I43" s="70"/>
      <c r="J43" s="8">
        <v>30</v>
      </c>
      <c r="K43" s="172">
        <v>2465868</v>
      </c>
      <c r="L43" s="171">
        <v>2557954.36</v>
      </c>
      <c r="M43" s="9">
        <f t="shared" si="9"/>
        <v>255795.43599999999</v>
      </c>
      <c r="N43" s="9">
        <f t="shared" si="10"/>
        <v>48601.132839999998</v>
      </c>
      <c r="O43" s="9">
        <f t="shared" si="11"/>
        <v>2862350.9288400002</v>
      </c>
      <c r="P43" s="9">
        <f t="shared" si="3"/>
        <v>2862351</v>
      </c>
      <c r="Q43" s="178"/>
      <c r="R43" s="205">
        <v>1300000</v>
      </c>
      <c r="S43" s="207">
        <v>1776294</v>
      </c>
      <c r="T43" s="216" t="s">
        <v>1012</v>
      </c>
      <c r="U43" s="9">
        <f t="shared" si="8"/>
        <v>2557954</v>
      </c>
      <c r="V43" s="251">
        <f t="shared" si="4"/>
        <v>255795.40000000002</v>
      </c>
      <c r="W43" s="251">
        <f t="shared" si="5"/>
        <v>48601.126000000004</v>
      </c>
      <c r="X43" s="251">
        <f t="shared" si="6"/>
        <v>2862351</v>
      </c>
      <c r="Y43" s="251">
        <f t="shared" si="7"/>
        <v>0</v>
      </c>
    </row>
    <row r="44" spans="1:25" ht="26.25" customHeight="1">
      <c r="A44" s="179" t="s">
        <v>947</v>
      </c>
      <c r="B44" s="8">
        <v>1033736024</v>
      </c>
      <c r="C44" s="8" t="s">
        <v>42</v>
      </c>
      <c r="D44" s="8" t="s">
        <v>111</v>
      </c>
      <c r="E44" s="8" t="s">
        <v>112</v>
      </c>
      <c r="F44" s="8" t="s">
        <v>113</v>
      </c>
      <c r="G44" s="224" t="s">
        <v>191</v>
      </c>
      <c r="H44" s="8" t="s">
        <v>14</v>
      </c>
      <c r="I44" s="70"/>
      <c r="J44" s="8">
        <v>30</v>
      </c>
      <c r="K44" s="172">
        <v>2465868</v>
      </c>
      <c r="L44" s="171">
        <v>2557954.36</v>
      </c>
      <c r="M44" s="9">
        <f t="shared" si="9"/>
        <v>255795.43599999999</v>
      </c>
      <c r="N44" s="9">
        <f t="shared" si="10"/>
        <v>48601.132839999998</v>
      </c>
      <c r="O44" s="9">
        <f t="shared" si="11"/>
        <v>2862350.9288400002</v>
      </c>
      <c r="P44" s="9">
        <f t="shared" si="3"/>
        <v>2862351</v>
      </c>
      <c r="Q44" s="178"/>
      <c r="R44" s="205">
        <v>1300000</v>
      </c>
      <c r="S44" s="207">
        <v>1776294</v>
      </c>
      <c r="T44" s="216" t="s">
        <v>1016</v>
      </c>
      <c r="U44" s="9">
        <f t="shared" si="8"/>
        <v>2557954</v>
      </c>
      <c r="V44" s="251">
        <f t="shared" si="4"/>
        <v>255795.40000000002</v>
      </c>
      <c r="W44" s="251">
        <f t="shared" si="5"/>
        <v>48601.126000000004</v>
      </c>
      <c r="X44" s="251">
        <f t="shared" si="6"/>
        <v>2862351</v>
      </c>
      <c r="Y44" s="251">
        <f t="shared" si="7"/>
        <v>0</v>
      </c>
    </row>
    <row r="45" spans="1:25" ht="26.25" customHeight="1">
      <c r="A45" s="179" t="s">
        <v>947</v>
      </c>
      <c r="B45" s="8">
        <v>1043009750</v>
      </c>
      <c r="C45" s="8" t="s">
        <v>278</v>
      </c>
      <c r="D45" s="8" t="s">
        <v>424</v>
      </c>
      <c r="E45" s="8" t="s">
        <v>425</v>
      </c>
      <c r="F45" s="8" t="s">
        <v>426</v>
      </c>
      <c r="G45" s="224" t="s">
        <v>13</v>
      </c>
      <c r="H45" s="70">
        <v>45395</v>
      </c>
      <c r="I45" s="70"/>
      <c r="J45" s="8">
        <v>30</v>
      </c>
      <c r="K45" s="172">
        <v>2465868</v>
      </c>
      <c r="L45" s="171">
        <v>2557954.36</v>
      </c>
      <c r="M45" s="9">
        <f t="shared" si="9"/>
        <v>255795.43599999999</v>
      </c>
      <c r="N45" s="9">
        <f t="shared" si="10"/>
        <v>48601.132839999998</v>
      </c>
      <c r="O45" s="9">
        <f t="shared" si="11"/>
        <v>2862350.9288400002</v>
      </c>
      <c r="P45" s="9">
        <f t="shared" si="3"/>
        <v>2862351</v>
      </c>
      <c r="Q45" s="178"/>
      <c r="R45" s="205">
        <v>1390000</v>
      </c>
      <c r="S45" s="207">
        <v>1777067</v>
      </c>
      <c r="T45" s="216" t="s">
        <v>1016</v>
      </c>
      <c r="U45" s="9">
        <f t="shared" si="8"/>
        <v>2557954</v>
      </c>
      <c r="V45" s="251">
        <f t="shared" si="4"/>
        <v>255795.40000000002</v>
      </c>
      <c r="W45" s="251">
        <f t="shared" si="5"/>
        <v>48601.126000000004</v>
      </c>
      <c r="X45" s="251">
        <f t="shared" si="6"/>
        <v>2862351</v>
      </c>
      <c r="Y45" s="251">
        <f t="shared" si="7"/>
        <v>0</v>
      </c>
    </row>
    <row r="46" spans="1:25" ht="26.25" customHeight="1">
      <c r="A46" s="179" t="s">
        <v>947</v>
      </c>
      <c r="B46" s="8">
        <v>1052957561</v>
      </c>
      <c r="C46" s="8" t="s">
        <v>238</v>
      </c>
      <c r="D46" s="8" t="s">
        <v>239</v>
      </c>
      <c r="E46" s="8" t="s">
        <v>47</v>
      </c>
      <c r="F46" s="8" t="s">
        <v>57</v>
      </c>
      <c r="G46" s="224" t="s">
        <v>191</v>
      </c>
      <c r="H46" s="8" t="s">
        <v>14</v>
      </c>
      <c r="I46" s="70"/>
      <c r="J46" s="8">
        <v>30</v>
      </c>
      <c r="K46" s="172">
        <v>2465868</v>
      </c>
      <c r="L46" s="171">
        <v>2557954.36</v>
      </c>
      <c r="M46" s="9">
        <f t="shared" si="9"/>
        <v>255795.43599999999</v>
      </c>
      <c r="N46" s="9">
        <f t="shared" si="10"/>
        <v>48601.132839999998</v>
      </c>
      <c r="O46" s="9">
        <f t="shared" si="11"/>
        <v>2862350.9288400002</v>
      </c>
      <c r="P46" s="9">
        <f t="shared" si="3"/>
        <v>2862351</v>
      </c>
      <c r="Q46" s="178"/>
      <c r="R46" s="205">
        <v>1300000</v>
      </c>
      <c r="S46" s="207">
        <v>1774044</v>
      </c>
      <c r="T46" s="216" t="s">
        <v>1012</v>
      </c>
      <c r="U46" s="9">
        <f t="shared" si="8"/>
        <v>2557954</v>
      </c>
      <c r="V46" s="251">
        <f t="shared" si="4"/>
        <v>255795.40000000002</v>
      </c>
      <c r="W46" s="251">
        <f t="shared" si="5"/>
        <v>48601.126000000004</v>
      </c>
      <c r="X46" s="251">
        <f t="shared" si="6"/>
        <v>2862351</v>
      </c>
      <c r="Y46" s="251">
        <f t="shared" si="7"/>
        <v>0</v>
      </c>
    </row>
    <row r="47" spans="1:25" ht="26.25" customHeight="1">
      <c r="A47" s="179" t="s">
        <v>947</v>
      </c>
      <c r="B47" s="8">
        <v>1063148543</v>
      </c>
      <c r="C47" s="8" t="s">
        <v>166</v>
      </c>
      <c r="D47" s="8" t="s">
        <v>208</v>
      </c>
      <c r="E47" s="8" t="s">
        <v>209</v>
      </c>
      <c r="F47" s="8" t="s">
        <v>99</v>
      </c>
      <c r="G47" s="224" t="s">
        <v>210</v>
      </c>
      <c r="H47" s="8" t="s">
        <v>14</v>
      </c>
      <c r="I47" s="70"/>
      <c r="J47" s="8">
        <v>30</v>
      </c>
      <c r="K47" s="172">
        <v>2465868</v>
      </c>
      <c r="L47" s="171">
        <v>2557954.36</v>
      </c>
      <c r="M47" s="9">
        <f t="shared" si="9"/>
        <v>255795.43599999999</v>
      </c>
      <c r="N47" s="9">
        <f t="shared" si="10"/>
        <v>48601.132839999998</v>
      </c>
      <c r="O47" s="9">
        <f t="shared" si="11"/>
        <v>2862350.9288400002</v>
      </c>
      <c r="P47" s="9">
        <f t="shared" si="3"/>
        <v>2862351</v>
      </c>
      <c r="Q47" s="178"/>
      <c r="R47" s="205">
        <v>1356000</v>
      </c>
      <c r="S47" s="207">
        <v>1843837</v>
      </c>
      <c r="T47" s="216" t="s">
        <v>1019</v>
      </c>
      <c r="U47" s="9">
        <f t="shared" si="8"/>
        <v>2557954</v>
      </c>
      <c r="V47" s="251">
        <f t="shared" si="4"/>
        <v>255795.40000000002</v>
      </c>
      <c r="W47" s="251">
        <f t="shared" si="5"/>
        <v>48601.126000000004</v>
      </c>
      <c r="X47" s="251">
        <f t="shared" si="6"/>
        <v>2862351</v>
      </c>
      <c r="Y47" s="251">
        <f t="shared" si="7"/>
        <v>0</v>
      </c>
    </row>
    <row r="48" spans="1:25" ht="26.25" customHeight="1">
      <c r="A48" s="179" t="s">
        <v>947</v>
      </c>
      <c r="B48" s="8">
        <v>1086727870</v>
      </c>
      <c r="C48" s="8" t="s">
        <v>34</v>
      </c>
      <c r="D48" s="8" t="s">
        <v>35</v>
      </c>
      <c r="E48" s="8" t="s">
        <v>36</v>
      </c>
      <c r="F48" s="8" t="s">
        <v>37</v>
      </c>
      <c r="G48" s="224" t="s">
        <v>191</v>
      </c>
      <c r="H48" s="8" t="s">
        <v>14</v>
      </c>
      <c r="I48" s="70"/>
      <c r="J48" s="8">
        <v>30</v>
      </c>
      <c r="K48" s="172">
        <v>2465868</v>
      </c>
      <c r="L48" s="171">
        <v>2557954.36</v>
      </c>
      <c r="M48" s="9">
        <f t="shared" si="9"/>
        <v>255795.43599999999</v>
      </c>
      <c r="N48" s="9">
        <f t="shared" si="10"/>
        <v>48601.132839999998</v>
      </c>
      <c r="O48" s="9">
        <f t="shared" si="11"/>
        <v>2862350.9288400002</v>
      </c>
      <c r="P48" s="9">
        <f t="shared" si="3"/>
        <v>2862351</v>
      </c>
      <c r="Q48" s="178"/>
      <c r="R48" s="205">
        <v>1300000</v>
      </c>
      <c r="S48" s="207">
        <v>1764594</v>
      </c>
      <c r="T48" s="216" t="s">
        <v>1012</v>
      </c>
      <c r="U48" s="9">
        <f t="shared" si="8"/>
        <v>2557954</v>
      </c>
      <c r="V48" s="251">
        <f t="shared" si="4"/>
        <v>255795.40000000002</v>
      </c>
      <c r="W48" s="251">
        <f t="shared" si="5"/>
        <v>48601.126000000004</v>
      </c>
      <c r="X48" s="251">
        <f t="shared" si="6"/>
        <v>2862351</v>
      </c>
      <c r="Y48" s="251">
        <f t="shared" si="7"/>
        <v>0</v>
      </c>
    </row>
    <row r="49" spans="1:25" ht="26.25" customHeight="1">
      <c r="A49" s="179" t="s">
        <v>947</v>
      </c>
      <c r="B49" s="8">
        <v>1115948145</v>
      </c>
      <c r="C49" s="8" t="s">
        <v>61</v>
      </c>
      <c r="D49" s="8" t="s">
        <v>62</v>
      </c>
      <c r="E49" s="8" t="s">
        <v>63</v>
      </c>
      <c r="F49" s="8"/>
      <c r="G49" s="224" t="s">
        <v>191</v>
      </c>
      <c r="H49" s="8" t="s">
        <v>14</v>
      </c>
      <c r="I49" s="70"/>
      <c r="J49" s="8">
        <v>30</v>
      </c>
      <c r="K49" s="172">
        <v>2465868</v>
      </c>
      <c r="L49" s="171">
        <v>2557954.36</v>
      </c>
      <c r="M49" s="9">
        <f t="shared" si="9"/>
        <v>255795.43599999999</v>
      </c>
      <c r="N49" s="9">
        <f t="shared" si="10"/>
        <v>48601.132839999998</v>
      </c>
      <c r="O49" s="9">
        <f t="shared" si="11"/>
        <v>2862350.9288400002</v>
      </c>
      <c r="P49" s="9">
        <f t="shared" si="3"/>
        <v>2862351</v>
      </c>
      <c r="Q49" s="179"/>
      <c r="R49" s="205">
        <v>1300000</v>
      </c>
      <c r="S49" s="205">
        <v>1776294</v>
      </c>
      <c r="T49" s="218" t="s">
        <v>1012</v>
      </c>
      <c r="U49" s="9">
        <f t="shared" si="8"/>
        <v>2557954</v>
      </c>
      <c r="V49" s="251">
        <f t="shared" si="4"/>
        <v>255795.40000000002</v>
      </c>
      <c r="W49" s="251">
        <f t="shared" si="5"/>
        <v>48601.126000000004</v>
      </c>
      <c r="X49" s="251">
        <f t="shared" si="6"/>
        <v>2862351</v>
      </c>
      <c r="Y49" s="251">
        <f t="shared" si="7"/>
        <v>0</v>
      </c>
    </row>
    <row r="50" spans="1:25">
      <c r="A50" s="179" t="s">
        <v>947</v>
      </c>
      <c r="B50" s="8">
        <v>1023949523</v>
      </c>
      <c r="C50" s="8" t="s">
        <v>166</v>
      </c>
      <c r="D50" s="8" t="s">
        <v>400</v>
      </c>
      <c r="E50" s="8" t="s">
        <v>991</v>
      </c>
      <c r="F50" s="8" t="s">
        <v>338</v>
      </c>
      <c r="G50" s="224" t="s">
        <v>210</v>
      </c>
      <c r="H50" s="70">
        <v>45444</v>
      </c>
      <c r="I50" s="70"/>
      <c r="J50" s="8">
        <v>30</v>
      </c>
      <c r="K50" s="172">
        <v>2465868</v>
      </c>
      <c r="L50" s="171">
        <v>2557954.36</v>
      </c>
      <c r="M50" s="9">
        <f t="shared" ref="M50:M51" si="12">+L50*10%</f>
        <v>255795.43599999999</v>
      </c>
      <c r="N50" s="9">
        <f t="shared" ref="N50:N51" si="13">+M50*19%</f>
        <v>48601.132839999998</v>
      </c>
      <c r="O50" s="9">
        <f t="shared" ref="O50:O51" si="14">+L50+M50+N50</f>
        <v>2862350.9288400002</v>
      </c>
      <c r="P50" s="9">
        <f t="shared" ref="P50:P51" si="15">+ROUND(((O50/30)*J50),0)</f>
        <v>2862351</v>
      </c>
      <c r="Q50" s="178" t="s">
        <v>1041</v>
      </c>
      <c r="R50" s="208">
        <v>1300000</v>
      </c>
      <c r="S50" s="207">
        <v>1479833</v>
      </c>
      <c r="T50" s="216" t="s">
        <v>1016</v>
      </c>
      <c r="U50" s="9">
        <f t="shared" ref="U50" si="16">+ROUND(((L50/30)*J50),0)</f>
        <v>2557954</v>
      </c>
      <c r="V50" s="251">
        <f t="shared" si="4"/>
        <v>255795.40000000002</v>
      </c>
      <c r="W50" s="251">
        <f t="shared" si="5"/>
        <v>48601.126000000004</v>
      </c>
      <c r="X50" s="251">
        <f t="shared" si="6"/>
        <v>2862351</v>
      </c>
      <c r="Y50" s="251">
        <f t="shared" si="7"/>
        <v>0</v>
      </c>
    </row>
    <row r="51" spans="1:25" ht="26.25" customHeight="1">
      <c r="A51" s="179" t="s">
        <v>947</v>
      </c>
      <c r="B51" s="8">
        <v>1026273552</v>
      </c>
      <c r="C51" s="8" t="s">
        <v>352</v>
      </c>
      <c r="D51" s="8" t="s">
        <v>84</v>
      </c>
      <c r="E51" s="8" t="s">
        <v>992</v>
      </c>
      <c r="F51" s="8" t="s">
        <v>993</v>
      </c>
      <c r="G51" s="224" t="s">
        <v>13</v>
      </c>
      <c r="H51" s="70">
        <v>45456</v>
      </c>
      <c r="I51" s="70"/>
      <c r="J51" s="237">
        <v>18</v>
      </c>
      <c r="K51" s="172">
        <v>2465868</v>
      </c>
      <c r="L51" s="171">
        <v>2557954.36</v>
      </c>
      <c r="M51" s="9">
        <f t="shared" si="12"/>
        <v>255795.43599999999</v>
      </c>
      <c r="N51" s="9">
        <f t="shared" si="13"/>
        <v>48601.132839999998</v>
      </c>
      <c r="O51" s="9">
        <f t="shared" si="14"/>
        <v>2862350.9288400002</v>
      </c>
      <c r="P51" s="9">
        <f t="shared" si="15"/>
        <v>1717411</v>
      </c>
      <c r="Q51" s="178" t="s">
        <v>982</v>
      </c>
      <c r="R51" s="208">
        <v>834000</v>
      </c>
      <c r="S51" s="207">
        <v>942080</v>
      </c>
      <c r="T51" s="218" t="s">
        <v>1012</v>
      </c>
      <c r="U51" s="9">
        <f>+ROUND(((L51/30)*J51),0)</f>
        <v>1534773</v>
      </c>
      <c r="V51" s="251">
        <f t="shared" si="4"/>
        <v>153477.30000000002</v>
      </c>
      <c r="W51" s="251">
        <f t="shared" si="5"/>
        <v>29160.687000000005</v>
      </c>
      <c r="X51" s="251">
        <f t="shared" si="6"/>
        <v>1717411</v>
      </c>
      <c r="Y51" s="251">
        <f t="shared" si="7"/>
        <v>0</v>
      </c>
    </row>
    <row r="52" spans="1:25" ht="26.25" customHeight="1">
      <c r="A52" s="179" t="s">
        <v>947</v>
      </c>
      <c r="B52" s="8">
        <v>1126122551</v>
      </c>
      <c r="C52" s="8" t="s">
        <v>342</v>
      </c>
      <c r="D52" s="8" t="s">
        <v>343</v>
      </c>
      <c r="E52" s="8" t="s">
        <v>344</v>
      </c>
      <c r="F52" s="8" t="s">
        <v>226</v>
      </c>
      <c r="G52" s="224" t="s">
        <v>13</v>
      </c>
      <c r="H52" s="8" t="s">
        <v>14</v>
      </c>
      <c r="I52" s="70"/>
      <c r="J52" s="8">
        <v>30</v>
      </c>
      <c r="K52" s="172">
        <v>2465868</v>
      </c>
      <c r="L52" s="171">
        <v>2557954.36</v>
      </c>
      <c r="M52" s="9">
        <f t="shared" si="9"/>
        <v>255795.43599999999</v>
      </c>
      <c r="N52" s="9">
        <f t="shared" si="10"/>
        <v>48601.132839999998</v>
      </c>
      <c r="O52" s="9">
        <f t="shared" si="11"/>
        <v>2862350.9288400002</v>
      </c>
      <c r="P52" s="9">
        <f t="shared" si="3"/>
        <v>2862351</v>
      </c>
      <c r="Q52" s="178"/>
      <c r="R52" s="205">
        <v>1390000</v>
      </c>
      <c r="S52" s="207">
        <v>1884844</v>
      </c>
      <c r="T52" s="216" t="s">
        <v>1016</v>
      </c>
      <c r="U52" s="9">
        <f t="shared" si="8"/>
        <v>2557954</v>
      </c>
      <c r="V52" s="251">
        <f t="shared" si="4"/>
        <v>255795.40000000002</v>
      </c>
      <c r="W52" s="251">
        <f t="shared" si="5"/>
        <v>48601.126000000004</v>
      </c>
      <c r="X52" s="251">
        <f t="shared" si="6"/>
        <v>2862351</v>
      </c>
      <c r="Y52" s="251">
        <f t="shared" si="7"/>
        <v>0</v>
      </c>
    </row>
    <row r="53" spans="1:25" ht="26.25" customHeight="1">
      <c r="A53" s="179" t="s">
        <v>948</v>
      </c>
      <c r="B53" s="8">
        <v>6089430</v>
      </c>
      <c r="C53" s="8" t="s">
        <v>168</v>
      </c>
      <c r="D53" s="8" t="s">
        <v>403</v>
      </c>
      <c r="E53" s="8" t="s">
        <v>404</v>
      </c>
      <c r="F53" s="8" t="s">
        <v>405</v>
      </c>
      <c r="G53" s="224" t="s">
        <v>191</v>
      </c>
      <c r="H53" s="8" t="s">
        <v>393</v>
      </c>
      <c r="I53" s="70"/>
      <c r="J53" s="8">
        <v>30</v>
      </c>
      <c r="K53" s="172">
        <v>2465868</v>
      </c>
      <c r="L53" s="171">
        <v>2557954.36</v>
      </c>
      <c r="M53" s="9">
        <f t="shared" si="9"/>
        <v>255795.43599999999</v>
      </c>
      <c r="N53" s="9">
        <f t="shared" si="10"/>
        <v>48601.132839999998</v>
      </c>
      <c r="O53" s="9">
        <f t="shared" si="11"/>
        <v>2862350.9288400002</v>
      </c>
      <c r="P53" s="9">
        <f t="shared" si="3"/>
        <v>2862351</v>
      </c>
      <c r="Q53" s="10"/>
      <c r="R53" s="205">
        <v>1300000</v>
      </c>
      <c r="S53" s="206">
        <v>1755989</v>
      </c>
      <c r="T53" s="216" t="s">
        <v>1016</v>
      </c>
      <c r="U53" s="9">
        <f t="shared" si="8"/>
        <v>2557954</v>
      </c>
      <c r="V53" s="251">
        <f t="shared" si="4"/>
        <v>255795.40000000002</v>
      </c>
      <c r="W53" s="251">
        <f t="shared" si="5"/>
        <v>48601.126000000004</v>
      </c>
      <c r="X53" s="251">
        <f t="shared" si="6"/>
        <v>2862351</v>
      </c>
      <c r="Y53" s="251">
        <f t="shared" si="7"/>
        <v>0</v>
      </c>
    </row>
    <row r="54" spans="1:25" ht="26.25" customHeight="1">
      <c r="A54" s="179" t="s">
        <v>948</v>
      </c>
      <c r="B54" s="8">
        <v>39659470</v>
      </c>
      <c r="C54" s="8" t="s">
        <v>177</v>
      </c>
      <c r="D54" s="8" t="s">
        <v>178</v>
      </c>
      <c r="E54" s="8" t="s">
        <v>179</v>
      </c>
      <c r="F54" s="8" t="s">
        <v>180</v>
      </c>
      <c r="G54" s="224" t="s">
        <v>191</v>
      </c>
      <c r="H54" s="70">
        <v>45369</v>
      </c>
      <c r="I54" s="70"/>
      <c r="J54" s="8">
        <v>30</v>
      </c>
      <c r="K54" s="172">
        <v>2465868</v>
      </c>
      <c r="L54" s="171">
        <v>2557954.36</v>
      </c>
      <c r="M54" s="9">
        <f t="shared" si="9"/>
        <v>255795.43599999999</v>
      </c>
      <c r="N54" s="9">
        <f t="shared" si="10"/>
        <v>48601.132839999998</v>
      </c>
      <c r="O54" s="9">
        <f t="shared" si="11"/>
        <v>2862350.9288400002</v>
      </c>
      <c r="P54" s="9">
        <f t="shared" si="3"/>
        <v>2862351</v>
      </c>
      <c r="Q54" s="178"/>
      <c r="R54" s="205">
        <v>1300000</v>
      </c>
      <c r="S54" s="207">
        <v>1775394</v>
      </c>
      <c r="T54" s="216" t="s">
        <v>1016</v>
      </c>
      <c r="U54" s="9">
        <f t="shared" si="8"/>
        <v>2557954</v>
      </c>
      <c r="V54" s="251">
        <f t="shared" si="4"/>
        <v>255795.40000000002</v>
      </c>
      <c r="W54" s="251">
        <f t="shared" si="5"/>
        <v>48601.126000000004</v>
      </c>
      <c r="X54" s="251">
        <f t="shared" si="6"/>
        <v>2862351</v>
      </c>
      <c r="Y54" s="251">
        <f t="shared" si="7"/>
        <v>0</v>
      </c>
    </row>
    <row r="55" spans="1:25" ht="26.25" customHeight="1">
      <c r="A55" s="179" t="s">
        <v>948</v>
      </c>
      <c r="B55" s="8">
        <v>51944258</v>
      </c>
      <c r="C55" s="8" t="s">
        <v>266</v>
      </c>
      <c r="D55" s="8" t="s">
        <v>270</v>
      </c>
      <c r="E55" s="8" t="s">
        <v>271</v>
      </c>
      <c r="F55" s="8" t="s">
        <v>272</v>
      </c>
      <c r="G55" s="224" t="s">
        <v>191</v>
      </c>
      <c r="H55" s="8" t="s">
        <v>14</v>
      </c>
      <c r="I55" s="70"/>
      <c r="J55" s="8">
        <v>30</v>
      </c>
      <c r="K55" s="172">
        <v>2465868</v>
      </c>
      <c r="L55" s="171">
        <v>2557954.36</v>
      </c>
      <c r="M55" s="9">
        <f t="shared" si="9"/>
        <v>255795.43599999999</v>
      </c>
      <c r="N55" s="9">
        <f t="shared" si="10"/>
        <v>48601.132839999998</v>
      </c>
      <c r="O55" s="9">
        <f t="shared" si="11"/>
        <v>2862350.9288400002</v>
      </c>
      <c r="P55" s="9">
        <f t="shared" si="3"/>
        <v>2862351</v>
      </c>
      <c r="Q55" s="10"/>
      <c r="R55" s="205">
        <v>1300000</v>
      </c>
      <c r="S55" s="206">
        <v>1776294</v>
      </c>
      <c r="T55" s="216" t="s">
        <v>1012</v>
      </c>
      <c r="U55" s="9">
        <f t="shared" si="8"/>
        <v>2557954</v>
      </c>
      <c r="V55" s="251">
        <f t="shared" si="4"/>
        <v>255795.40000000002</v>
      </c>
      <c r="W55" s="251">
        <f t="shared" si="5"/>
        <v>48601.126000000004</v>
      </c>
      <c r="X55" s="251">
        <f t="shared" si="6"/>
        <v>2862351</v>
      </c>
      <c r="Y55" s="251">
        <f t="shared" si="7"/>
        <v>0</v>
      </c>
    </row>
    <row r="56" spans="1:25" ht="26.25" customHeight="1">
      <c r="A56" s="179" t="s">
        <v>948</v>
      </c>
      <c r="B56" s="8">
        <v>52365313</v>
      </c>
      <c r="C56" s="8" t="s">
        <v>64</v>
      </c>
      <c r="D56" s="8" t="s">
        <v>28</v>
      </c>
      <c r="E56" s="8" t="s">
        <v>159</v>
      </c>
      <c r="F56" s="8" t="s">
        <v>54</v>
      </c>
      <c r="G56" s="224" t="s">
        <v>191</v>
      </c>
      <c r="H56" s="8" t="s">
        <v>393</v>
      </c>
      <c r="I56" s="70"/>
      <c r="J56" s="8">
        <v>30</v>
      </c>
      <c r="K56" s="172">
        <v>2465868</v>
      </c>
      <c r="L56" s="171">
        <v>2557954.36</v>
      </c>
      <c r="M56" s="9">
        <f t="shared" si="9"/>
        <v>255795.43599999999</v>
      </c>
      <c r="N56" s="9">
        <f t="shared" si="10"/>
        <v>48601.132839999998</v>
      </c>
      <c r="O56" s="9">
        <f t="shared" si="11"/>
        <v>2862350.9288400002</v>
      </c>
      <c r="P56" s="9">
        <f t="shared" si="3"/>
        <v>2862351</v>
      </c>
      <c r="Q56" s="10"/>
      <c r="R56" s="205">
        <v>1300000</v>
      </c>
      <c r="S56" s="206">
        <v>1755989</v>
      </c>
      <c r="T56" s="216" t="s">
        <v>1015</v>
      </c>
      <c r="U56" s="9">
        <f t="shared" si="8"/>
        <v>2557954</v>
      </c>
      <c r="V56" s="251">
        <f t="shared" si="4"/>
        <v>255795.40000000002</v>
      </c>
      <c r="W56" s="251">
        <f t="shared" si="5"/>
        <v>48601.126000000004</v>
      </c>
      <c r="X56" s="251">
        <f t="shared" si="6"/>
        <v>2862351</v>
      </c>
      <c r="Y56" s="251">
        <f t="shared" si="7"/>
        <v>0</v>
      </c>
    </row>
    <row r="57" spans="1:25" ht="26.25" customHeight="1">
      <c r="A57" s="179" t="s">
        <v>948</v>
      </c>
      <c r="B57" s="8">
        <v>53089308</v>
      </c>
      <c r="C57" s="8" t="s">
        <v>390</v>
      </c>
      <c r="D57" s="8" t="s">
        <v>391</v>
      </c>
      <c r="E57" s="8" t="s">
        <v>392</v>
      </c>
      <c r="F57" s="8"/>
      <c r="G57" s="224" t="s">
        <v>191</v>
      </c>
      <c r="H57" s="8" t="s">
        <v>393</v>
      </c>
      <c r="I57" s="70"/>
      <c r="J57" s="8">
        <v>30</v>
      </c>
      <c r="K57" s="172">
        <v>2465868</v>
      </c>
      <c r="L57" s="171">
        <v>2557954.36</v>
      </c>
      <c r="M57" s="9">
        <f t="shared" si="9"/>
        <v>255795.43599999999</v>
      </c>
      <c r="N57" s="9">
        <f t="shared" si="10"/>
        <v>48601.132839999998</v>
      </c>
      <c r="O57" s="9">
        <f t="shared" si="11"/>
        <v>2862350.9288400002</v>
      </c>
      <c r="P57" s="9">
        <f t="shared" si="3"/>
        <v>2862351</v>
      </c>
      <c r="Q57" s="10"/>
      <c r="R57" s="205">
        <v>1300000</v>
      </c>
      <c r="S57" s="206">
        <v>1755089</v>
      </c>
      <c r="T57" s="216" t="s">
        <v>961</v>
      </c>
      <c r="U57" s="9">
        <f t="shared" si="8"/>
        <v>2557954</v>
      </c>
      <c r="V57" s="251">
        <f t="shared" si="4"/>
        <v>255795.40000000002</v>
      </c>
      <c r="W57" s="251">
        <f t="shared" si="5"/>
        <v>48601.126000000004</v>
      </c>
      <c r="X57" s="251">
        <f t="shared" si="6"/>
        <v>2862351</v>
      </c>
      <c r="Y57" s="251">
        <f t="shared" si="7"/>
        <v>0</v>
      </c>
    </row>
    <row r="58" spans="1:25" ht="26.25" customHeight="1">
      <c r="A58" s="179" t="s">
        <v>948</v>
      </c>
      <c r="B58" s="8">
        <v>80366379</v>
      </c>
      <c r="C58" s="8" t="s">
        <v>87</v>
      </c>
      <c r="D58" s="8"/>
      <c r="E58" s="8" t="s">
        <v>88</v>
      </c>
      <c r="F58" s="8"/>
      <c r="G58" s="224" t="s">
        <v>89</v>
      </c>
      <c r="H58" s="8" t="s">
        <v>14</v>
      </c>
      <c r="I58" s="70"/>
      <c r="J58" s="8">
        <v>30</v>
      </c>
      <c r="K58" s="172">
        <v>2465868</v>
      </c>
      <c r="L58" s="171">
        <v>2557954.36</v>
      </c>
      <c r="M58" s="9">
        <f t="shared" si="9"/>
        <v>255795.43599999999</v>
      </c>
      <c r="N58" s="9">
        <f t="shared" si="10"/>
        <v>48601.132839999998</v>
      </c>
      <c r="O58" s="9">
        <f t="shared" si="11"/>
        <v>2862350.9288400002</v>
      </c>
      <c r="P58" s="9">
        <f t="shared" si="3"/>
        <v>2862351</v>
      </c>
      <c r="Q58" s="10"/>
      <c r="R58" s="206">
        <v>1356000</v>
      </c>
      <c r="S58" s="206">
        <v>1843837</v>
      </c>
      <c r="T58" s="216" t="s">
        <v>1012</v>
      </c>
      <c r="U58" s="9">
        <f t="shared" si="8"/>
        <v>2557954</v>
      </c>
      <c r="V58" s="251">
        <f t="shared" si="4"/>
        <v>255795.40000000002</v>
      </c>
      <c r="W58" s="251">
        <f t="shared" si="5"/>
        <v>48601.126000000004</v>
      </c>
      <c r="X58" s="251">
        <f t="shared" si="6"/>
        <v>2862351</v>
      </c>
      <c r="Y58" s="251">
        <f t="shared" si="7"/>
        <v>0</v>
      </c>
    </row>
    <row r="59" spans="1:25" ht="26.25" customHeight="1">
      <c r="A59" s="179" t="s">
        <v>948</v>
      </c>
      <c r="B59" s="8">
        <v>1000803836</v>
      </c>
      <c r="C59" s="8" t="s">
        <v>25</v>
      </c>
      <c r="D59" s="8" t="s">
        <v>26</v>
      </c>
      <c r="E59" s="8" t="s">
        <v>27</v>
      </c>
      <c r="F59" s="8"/>
      <c r="G59" s="224" t="s">
        <v>191</v>
      </c>
      <c r="H59" s="8" t="s">
        <v>14</v>
      </c>
      <c r="I59" s="70"/>
      <c r="J59" s="8">
        <v>30</v>
      </c>
      <c r="K59" s="172">
        <v>2465868</v>
      </c>
      <c r="L59" s="171">
        <v>2557954.36</v>
      </c>
      <c r="M59" s="9">
        <f t="shared" si="9"/>
        <v>255795.43599999999</v>
      </c>
      <c r="N59" s="9">
        <f t="shared" si="10"/>
        <v>48601.132839999998</v>
      </c>
      <c r="O59" s="9">
        <f t="shared" si="11"/>
        <v>2862350.9288400002</v>
      </c>
      <c r="P59" s="9">
        <f t="shared" si="3"/>
        <v>2862351</v>
      </c>
      <c r="Q59" s="10"/>
      <c r="R59" s="205">
        <v>1300000</v>
      </c>
      <c r="S59" s="206">
        <v>1776294</v>
      </c>
      <c r="T59" s="216" t="s">
        <v>1012</v>
      </c>
      <c r="U59" s="9">
        <f t="shared" si="8"/>
        <v>2557954</v>
      </c>
      <c r="V59" s="251">
        <f t="shared" si="4"/>
        <v>255795.40000000002</v>
      </c>
      <c r="W59" s="251">
        <f t="shared" si="5"/>
        <v>48601.126000000004</v>
      </c>
      <c r="X59" s="251">
        <f t="shared" si="6"/>
        <v>2862351</v>
      </c>
      <c r="Y59" s="251">
        <f t="shared" si="7"/>
        <v>0</v>
      </c>
    </row>
    <row r="60" spans="1:25" ht="26.25" customHeight="1">
      <c r="A60" s="239" t="s">
        <v>948</v>
      </c>
      <c r="B60" s="8">
        <v>1073673765</v>
      </c>
      <c r="C60" s="8" t="s">
        <v>277</v>
      </c>
      <c r="D60" s="8" t="s">
        <v>278</v>
      </c>
      <c r="E60" s="8" t="s">
        <v>279</v>
      </c>
      <c r="F60" s="8" t="s">
        <v>280</v>
      </c>
      <c r="G60" s="224" t="s">
        <v>191</v>
      </c>
      <c r="H60" s="8" t="s">
        <v>14</v>
      </c>
      <c r="I60" s="70"/>
      <c r="J60" s="8">
        <v>30</v>
      </c>
      <c r="K60" s="172">
        <v>2465868</v>
      </c>
      <c r="L60" s="171">
        <v>2557954.36</v>
      </c>
      <c r="M60" s="9">
        <f>+L60*10%</f>
        <v>255795.43599999999</v>
      </c>
      <c r="N60" s="9">
        <f>+M60*19%</f>
        <v>48601.132839999998</v>
      </c>
      <c r="O60" s="9">
        <f>+L60+M60+N60</f>
        <v>2862350.9288400002</v>
      </c>
      <c r="P60" s="9">
        <f>+ROUND(((O60/30)*J60),0)</f>
        <v>2862351</v>
      </c>
      <c r="Q60" s="178"/>
      <c r="R60" s="205">
        <v>1300000</v>
      </c>
      <c r="S60" s="207">
        <v>1776294</v>
      </c>
      <c r="T60" s="216" t="s">
        <v>1012</v>
      </c>
      <c r="U60" s="9">
        <f>+ROUND(((L60/30)*J60),0)</f>
        <v>2557954</v>
      </c>
      <c r="V60" s="251">
        <f t="shared" si="4"/>
        <v>255795.40000000002</v>
      </c>
      <c r="W60" s="251">
        <f t="shared" si="5"/>
        <v>48601.126000000004</v>
      </c>
      <c r="X60" s="251">
        <f t="shared" si="6"/>
        <v>2862351</v>
      </c>
      <c r="Y60" s="251">
        <f t="shared" si="7"/>
        <v>0</v>
      </c>
    </row>
    <row r="61" spans="1:25" ht="26.25" customHeight="1">
      <c r="A61" s="239" t="s">
        <v>948</v>
      </c>
      <c r="B61" s="8">
        <v>1010003092</v>
      </c>
      <c r="C61" s="8" t="s">
        <v>273</v>
      </c>
      <c r="D61" s="8" t="s">
        <v>114</v>
      </c>
      <c r="E61" s="8" t="s">
        <v>407</v>
      </c>
      <c r="F61" s="8" t="s">
        <v>408</v>
      </c>
      <c r="G61" s="224" t="s">
        <v>13</v>
      </c>
      <c r="H61" s="8" t="s">
        <v>393</v>
      </c>
      <c r="I61" s="70"/>
      <c r="J61" s="8">
        <v>30</v>
      </c>
      <c r="K61" s="172">
        <v>2465868</v>
      </c>
      <c r="L61" s="171">
        <v>2557954.36</v>
      </c>
      <c r="M61" s="9">
        <f>+L61*10%</f>
        <v>255795.43599999999</v>
      </c>
      <c r="N61" s="9">
        <f>+M61*19%</f>
        <v>48601.132839999998</v>
      </c>
      <c r="O61" s="9">
        <f>+L61+M61+N61</f>
        <v>2862350.9288400002</v>
      </c>
      <c r="P61" s="9">
        <f>+ROUND(((O61/30)*J61),0)</f>
        <v>2862351</v>
      </c>
      <c r="Q61" s="178"/>
      <c r="R61" s="205">
        <v>1390000</v>
      </c>
      <c r="S61" s="207">
        <v>1863289</v>
      </c>
      <c r="T61" s="216" t="s">
        <v>1012</v>
      </c>
      <c r="U61" s="9">
        <f>+ROUND(((L61/30)*J61),0)</f>
        <v>2557954</v>
      </c>
      <c r="V61" s="251">
        <f t="shared" si="4"/>
        <v>255795.40000000002</v>
      </c>
      <c r="W61" s="251">
        <f t="shared" si="5"/>
        <v>48601.126000000004</v>
      </c>
      <c r="X61" s="251">
        <f t="shared" si="6"/>
        <v>2862351</v>
      </c>
      <c r="Y61" s="251">
        <f t="shared" si="7"/>
        <v>0</v>
      </c>
    </row>
    <row r="62" spans="1:25" ht="26.25" customHeight="1">
      <c r="A62" s="179" t="s">
        <v>948</v>
      </c>
      <c r="B62" s="8">
        <v>1001276187</v>
      </c>
      <c r="C62" s="8" t="s">
        <v>168</v>
      </c>
      <c r="D62" s="8" t="s">
        <v>397</v>
      </c>
      <c r="E62" s="8" t="s">
        <v>184</v>
      </c>
      <c r="F62" s="8" t="s">
        <v>398</v>
      </c>
      <c r="G62" s="224" t="s">
        <v>191</v>
      </c>
      <c r="H62" s="8" t="s">
        <v>393</v>
      </c>
      <c r="I62" s="70"/>
      <c r="J62" s="237">
        <v>29</v>
      </c>
      <c r="K62" s="172">
        <v>2465868</v>
      </c>
      <c r="L62" s="171">
        <v>2557954.36</v>
      </c>
      <c r="M62" s="9">
        <f t="shared" si="9"/>
        <v>255795.43599999999</v>
      </c>
      <c r="N62" s="9">
        <f t="shared" si="10"/>
        <v>48601.132839999998</v>
      </c>
      <c r="O62" s="9">
        <f t="shared" si="11"/>
        <v>2862350.9288400002</v>
      </c>
      <c r="P62" s="9">
        <f t="shared" si="3"/>
        <v>2766939</v>
      </c>
      <c r="Q62" s="10" t="s">
        <v>1042</v>
      </c>
      <c r="R62" s="211">
        <f>1256667+43334</f>
        <v>1300001</v>
      </c>
      <c r="S62" s="206">
        <v>1742018</v>
      </c>
      <c r="T62" s="216" t="s">
        <v>1015</v>
      </c>
      <c r="U62" s="9">
        <f t="shared" si="8"/>
        <v>2472689</v>
      </c>
      <c r="V62" s="251">
        <f t="shared" si="4"/>
        <v>247268.90000000002</v>
      </c>
      <c r="W62" s="251">
        <f t="shared" si="5"/>
        <v>46981.091000000008</v>
      </c>
      <c r="X62" s="251">
        <f t="shared" si="6"/>
        <v>2766939</v>
      </c>
      <c r="Y62" s="251">
        <f t="shared" si="7"/>
        <v>0</v>
      </c>
    </row>
    <row r="63" spans="1:25" ht="26.25" customHeight="1">
      <c r="A63" s="179" t="s">
        <v>948</v>
      </c>
      <c r="B63" s="8">
        <v>1022940252</v>
      </c>
      <c r="C63" s="8" t="s">
        <v>245</v>
      </c>
      <c r="D63" s="8" t="s">
        <v>115</v>
      </c>
      <c r="E63" s="8" t="s">
        <v>47</v>
      </c>
      <c r="F63" s="8" t="s">
        <v>159</v>
      </c>
      <c r="G63" s="224" t="s">
        <v>191</v>
      </c>
      <c r="H63" s="8" t="s">
        <v>14</v>
      </c>
      <c r="I63" s="70"/>
      <c r="J63" s="8">
        <v>30</v>
      </c>
      <c r="K63" s="172">
        <v>2465868</v>
      </c>
      <c r="L63" s="171">
        <v>2557954.36</v>
      </c>
      <c r="M63" s="9">
        <f t="shared" si="9"/>
        <v>255795.43599999999</v>
      </c>
      <c r="N63" s="9">
        <f t="shared" si="10"/>
        <v>48601.132839999998</v>
      </c>
      <c r="O63" s="9">
        <f t="shared" si="11"/>
        <v>2862350.9288400002</v>
      </c>
      <c r="P63" s="9">
        <f t="shared" si="3"/>
        <v>2862351</v>
      </c>
      <c r="Q63" s="10"/>
      <c r="R63" s="205">
        <v>1300000</v>
      </c>
      <c r="S63" s="206">
        <v>1776294</v>
      </c>
      <c r="T63" s="216" t="s">
        <v>1012</v>
      </c>
      <c r="U63" s="9">
        <f t="shared" si="8"/>
        <v>2557954</v>
      </c>
      <c r="V63" s="251">
        <f t="shared" si="4"/>
        <v>255795.40000000002</v>
      </c>
      <c r="W63" s="251">
        <f t="shared" si="5"/>
        <v>48601.126000000004</v>
      </c>
      <c r="X63" s="251">
        <f t="shared" si="6"/>
        <v>2862351</v>
      </c>
      <c r="Y63" s="251">
        <f t="shared" si="7"/>
        <v>0</v>
      </c>
    </row>
    <row r="64" spans="1:25" ht="26.25" customHeight="1">
      <c r="A64" s="179" t="s">
        <v>948</v>
      </c>
      <c r="B64" s="8">
        <v>1023896564</v>
      </c>
      <c r="C64" s="8" t="s">
        <v>412</v>
      </c>
      <c r="D64" s="8" t="s">
        <v>413</v>
      </c>
      <c r="E64" s="8" t="s">
        <v>414</v>
      </c>
      <c r="F64" s="8" t="s">
        <v>222</v>
      </c>
      <c r="G64" s="224" t="s">
        <v>191</v>
      </c>
      <c r="H64" s="70">
        <v>45385</v>
      </c>
      <c r="I64" s="70"/>
      <c r="J64" s="237">
        <v>26</v>
      </c>
      <c r="K64" s="172">
        <v>2465868</v>
      </c>
      <c r="L64" s="171">
        <v>2557954.36</v>
      </c>
      <c r="M64" s="9">
        <f t="shared" si="9"/>
        <v>255795.43599999999</v>
      </c>
      <c r="N64" s="9">
        <f t="shared" si="10"/>
        <v>48601.132839999998</v>
      </c>
      <c r="O64" s="9">
        <f t="shared" si="11"/>
        <v>2862350.9288400002</v>
      </c>
      <c r="P64" s="9">
        <f t="shared" si="3"/>
        <v>2480704</v>
      </c>
      <c r="Q64" s="178" t="s">
        <v>1043</v>
      </c>
      <c r="R64" s="211">
        <f>1126667+86667+86667</f>
        <v>1300001</v>
      </c>
      <c r="S64" s="207">
        <v>1691079</v>
      </c>
      <c r="T64" s="216" t="s">
        <v>1016</v>
      </c>
      <c r="U64" s="9">
        <f t="shared" si="8"/>
        <v>2216894</v>
      </c>
      <c r="V64" s="251">
        <f t="shared" si="4"/>
        <v>221689.40000000002</v>
      </c>
      <c r="W64" s="251">
        <f t="shared" si="5"/>
        <v>42120.986000000004</v>
      </c>
      <c r="X64" s="251">
        <f t="shared" si="6"/>
        <v>2480704</v>
      </c>
      <c r="Y64" s="251">
        <f t="shared" si="7"/>
        <v>0</v>
      </c>
    </row>
    <row r="65" spans="1:25" ht="26.25" customHeight="1">
      <c r="A65" s="179" t="s">
        <v>948</v>
      </c>
      <c r="B65" s="8">
        <v>1033802653</v>
      </c>
      <c r="C65" s="8" t="s">
        <v>361</v>
      </c>
      <c r="D65" s="8"/>
      <c r="E65" s="8" t="s">
        <v>362</v>
      </c>
      <c r="F65" s="8"/>
      <c r="G65" s="224" t="s">
        <v>191</v>
      </c>
      <c r="H65" s="8" t="s">
        <v>354</v>
      </c>
      <c r="I65" s="70"/>
      <c r="J65" s="237">
        <v>28</v>
      </c>
      <c r="K65" s="172">
        <v>2465868</v>
      </c>
      <c r="L65" s="171">
        <v>2557954.36</v>
      </c>
      <c r="M65" s="9">
        <f t="shared" ref="M65:M95" si="17">+L65*10%</f>
        <v>255795.43599999999</v>
      </c>
      <c r="N65" s="9">
        <f t="shared" ref="N65:N95" si="18">+M65*19%</f>
        <v>48601.132839999998</v>
      </c>
      <c r="O65" s="9">
        <f t="shared" ref="O65:O95" si="19">+L65+M65+N65</f>
        <v>2862350.9288400002</v>
      </c>
      <c r="P65" s="9">
        <f t="shared" ref="P65:P127" si="20">+ROUND(((O65/30)*J65),0)</f>
        <v>2671528</v>
      </c>
      <c r="Q65" s="10" t="s">
        <v>1044</v>
      </c>
      <c r="R65" s="208">
        <f>1213334+86667</f>
        <v>1300001</v>
      </c>
      <c r="S65" s="206">
        <v>1756472</v>
      </c>
      <c r="T65" s="216" t="s">
        <v>1015</v>
      </c>
      <c r="U65" s="9">
        <f t="shared" ref="U65:U128" si="21">+ROUND(((L65/30)*J65),0)</f>
        <v>2387424</v>
      </c>
      <c r="V65" s="251">
        <f t="shared" si="4"/>
        <v>238742.40000000002</v>
      </c>
      <c r="W65" s="251">
        <f t="shared" si="5"/>
        <v>45361.056000000004</v>
      </c>
      <c r="X65" s="251">
        <f t="shared" si="6"/>
        <v>2671527</v>
      </c>
      <c r="Y65" s="251">
        <f t="shared" si="7"/>
        <v>-1</v>
      </c>
    </row>
    <row r="66" spans="1:25" ht="26.25" customHeight="1">
      <c r="A66" s="179" t="s">
        <v>948</v>
      </c>
      <c r="B66" s="8">
        <v>1050971458</v>
      </c>
      <c r="C66" s="8" t="s">
        <v>380</v>
      </c>
      <c r="D66" s="8" t="s">
        <v>166</v>
      </c>
      <c r="E66" s="8" t="s">
        <v>47</v>
      </c>
      <c r="F66" s="8" t="s">
        <v>57</v>
      </c>
      <c r="G66" s="224" t="s">
        <v>191</v>
      </c>
      <c r="H66" s="8" t="s">
        <v>14</v>
      </c>
      <c r="I66" s="70"/>
      <c r="J66" s="8">
        <v>30</v>
      </c>
      <c r="K66" s="172">
        <v>2465868</v>
      </c>
      <c r="L66" s="171">
        <v>2557954.36</v>
      </c>
      <c r="M66" s="9">
        <f t="shared" si="17"/>
        <v>255795.43599999999</v>
      </c>
      <c r="N66" s="9">
        <f t="shared" si="18"/>
        <v>48601.132839999998</v>
      </c>
      <c r="O66" s="9">
        <f t="shared" si="19"/>
        <v>2862350.9288400002</v>
      </c>
      <c r="P66" s="9">
        <f t="shared" si="20"/>
        <v>2862351</v>
      </c>
      <c r="R66" s="205">
        <v>1300000</v>
      </c>
      <c r="S66" s="219">
        <v>1776294</v>
      </c>
      <c r="T66" s="216" t="s">
        <v>1012</v>
      </c>
      <c r="U66" s="9">
        <f t="shared" si="21"/>
        <v>2557954</v>
      </c>
      <c r="V66" s="251">
        <f t="shared" si="4"/>
        <v>255795.40000000002</v>
      </c>
      <c r="W66" s="251">
        <f t="shared" si="5"/>
        <v>48601.126000000004</v>
      </c>
      <c r="X66" s="251">
        <f t="shared" si="6"/>
        <v>2862351</v>
      </c>
      <c r="Y66" s="251">
        <f t="shared" si="7"/>
        <v>0</v>
      </c>
    </row>
    <row r="67" spans="1:25" ht="26.25" customHeight="1">
      <c r="A67" s="179" t="s">
        <v>948</v>
      </c>
      <c r="B67" s="8">
        <v>1126122552</v>
      </c>
      <c r="C67" s="8" t="s">
        <v>342</v>
      </c>
      <c r="D67" s="8" t="s">
        <v>343</v>
      </c>
      <c r="E67" s="8" t="s">
        <v>17</v>
      </c>
      <c r="F67" s="8" t="s">
        <v>345</v>
      </c>
      <c r="G67" s="224" t="s">
        <v>13</v>
      </c>
      <c r="H67" s="8" t="s">
        <v>14</v>
      </c>
      <c r="I67" s="70"/>
      <c r="J67" s="8">
        <v>30</v>
      </c>
      <c r="K67" s="172">
        <v>2465868</v>
      </c>
      <c r="L67" s="171">
        <v>2557954.36</v>
      </c>
      <c r="M67" s="9">
        <f t="shared" si="17"/>
        <v>255795.43599999999</v>
      </c>
      <c r="N67" s="9">
        <f t="shared" si="18"/>
        <v>48601.132839999998</v>
      </c>
      <c r="O67" s="9">
        <f t="shared" si="19"/>
        <v>2862350.9288400002</v>
      </c>
      <c r="P67" s="9">
        <f t="shared" si="20"/>
        <v>2862351</v>
      </c>
      <c r="Q67" s="10"/>
      <c r="R67" s="205">
        <v>1390000</v>
      </c>
      <c r="S67" s="206">
        <v>1884844</v>
      </c>
      <c r="T67" s="216" t="s">
        <v>1012</v>
      </c>
      <c r="U67" s="9">
        <f t="shared" si="21"/>
        <v>2557954</v>
      </c>
      <c r="V67" s="251">
        <f t="shared" ref="V67:V130" si="22">+U67*10%</f>
        <v>255795.40000000002</v>
      </c>
      <c r="W67" s="251">
        <f t="shared" ref="W67:W130" si="23">+V67*19%</f>
        <v>48601.126000000004</v>
      </c>
      <c r="X67" s="251">
        <f t="shared" ref="X67:X130" si="24">+ROUND((U67+V67+W67),0)</f>
        <v>2862351</v>
      </c>
      <c r="Y67" s="251">
        <f t="shared" ref="Y67:Y130" si="25">+X67-P67</f>
        <v>0</v>
      </c>
    </row>
    <row r="68" spans="1:25" ht="26.25" customHeight="1">
      <c r="A68" s="179" t="s">
        <v>948</v>
      </c>
      <c r="B68" s="8">
        <v>1148150676</v>
      </c>
      <c r="C68" s="8" t="s">
        <v>76</v>
      </c>
      <c r="D68" s="8" t="s">
        <v>77</v>
      </c>
      <c r="E68" s="8" t="s">
        <v>78</v>
      </c>
      <c r="F68" s="8" t="s">
        <v>79</v>
      </c>
      <c r="G68" s="224" t="s">
        <v>13</v>
      </c>
      <c r="H68" s="8" t="s">
        <v>14</v>
      </c>
      <c r="I68" s="70"/>
      <c r="J68" s="237">
        <v>27</v>
      </c>
      <c r="K68" s="172">
        <v>2465868</v>
      </c>
      <c r="L68" s="171">
        <v>2557954.36</v>
      </c>
      <c r="M68" s="9">
        <f t="shared" si="17"/>
        <v>255795.43599999999</v>
      </c>
      <c r="N68" s="9">
        <f t="shared" si="18"/>
        <v>48601.132839999998</v>
      </c>
      <c r="O68" s="9">
        <f t="shared" si="19"/>
        <v>2862350.9288400002</v>
      </c>
      <c r="P68" s="9">
        <f t="shared" si="20"/>
        <v>2576116</v>
      </c>
      <c r="Q68" s="10" t="s">
        <v>1045</v>
      </c>
      <c r="R68" s="208">
        <f>1251000+92667+46334</f>
        <v>1390001</v>
      </c>
      <c r="S68" s="206">
        <v>1727831</v>
      </c>
      <c r="T68" s="216" t="s">
        <v>1016</v>
      </c>
      <c r="U68" s="9">
        <f t="shared" si="21"/>
        <v>2302159</v>
      </c>
      <c r="V68" s="251">
        <f t="shared" si="22"/>
        <v>230215.90000000002</v>
      </c>
      <c r="W68" s="251">
        <f t="shared" si="23"/>
        <v>43741.021000000008</v>
      </c>
      <c r="X68" s="251">
        <f t="shared" si="24"/>
        <v>2576116</v>
      </c>
      <c r="Y68" s="251">
        <f t="shared" si="25"/>
        <v>0</v>
      </c>
    </row>
    <row r="69" spans="1:25" ht="26.25" customHeight="1">
      <c r="A69" s="179" t="s">
        <v>949</v>
      </c>
      <c r="B69" s="8">
        <v>53048357</v>
      </c>
      <c r="C69" s="8" t="s">
        <v>166</v>
      </c>
      <c r="D69" s="8" t="s">
        <v>212</v>
      </c>
      <c r="E69" s="8" t="s">
        <v>47</v>
      </c>
      <c r="F69" s="8" t="s">
        <v>213</v>
      </c>
      <c r="G69" s="224" t="s">
        <v>191</v>
      </c>
      <c r="H69" s="8" t="s">
        <v>14</v>
      </c>
      <c r="I69" s="70"/>
      <c r="J69" s="8">
        <v>30</v>
      </c>
      <c r="K69" s="172">
        <v>2465868</v>
      </c>
      <c r="L69" s="171">
        <v>2557954.36</v>
      </c>
      <c r="M69" s="9">
        <f t="shared" si="17"/>
        <v>255795.43599999999</v>
      </c>
      <c r="N69" s="9">
        <f t="shared" si="18"/>
        <v>48601.132839999998</v>
      </c>
      <c r="O69" s="9">
        <f t="shared" si="19"/>
        <v>2862350.9288400002</v>
      </c>
      <c r="P69" s="9">
        <f t="shared" si="20"/>
        <v>2862351</v>
      </c>
      <c r="Q69" s="10"/>
      <c r="R69" s="205">
        <v>1300000</v>
      </c>
      <c r="S69" s="206">
        <v>1776294</v>
      </c>
      <c r="T69" s="216" t="s">
        <v>1012</v>
      </c>
      <c r="U69" s="9">
        <f t="shared" si="21"/>
        <v>2557954</v>
      </c>
      <c r="V69" s="251">
        <f t="shared" si="22"/>
        <v>255795.40000000002</v>
      </c>
      <c r="W69" s="251">
        <f t="shared" si="23"/>
        <v>48601.126000000004</v>
      </c>
      <c r="X69" s="251">
        <f t="shared" si="24"/>
        <v>2862351</v>
      </c>
      <c r="Y69" s="251">
        <f t="shared" si="25"/>
        <v>0</v>
      </c>
    </row>
    <row r="70" spans="1:25" ht="26.25" customHeight="1">
      <c r="A70" s="179" t="s">
        <v>949</v>
      </c>
      <c r="B70" s="8">
        <v>79510190</v>
      </c>
      <c r="C70" s="8" t="s">
        <v>129</v>
      </c>
      <c r="D70" s="8" t="s">
        <v>130</v>
      </c>
      <c r="E70" s="8" t="s">
        <v>18</v>
      </c>
      <c r="F70" s="8" t="s">
        <v>131</v>
      </c>
      <c r="G70" s="224" t="s">
        <v>89</v>
      </c>
      <c r="H70" s="8" t="s">
        <v>14</v>
      </c>
      <c r="I70" s="70"/>
      <c r="J70" s="8">
        <v>30</v>
      </c>
      <c r="K70" s="172">
        <v>2465868</v>
      </c>
      <c r="L70" s="171">
        <v>2557954.36</v>
      </c>
      <c r="M70" s="9">
        <f t="shared" si="17"/>
        <v>255795.43599999999</v>
      </c>
      <c r="N70" s="9">
        <f t="shared" si="18"/>
        <v>48601.132839999998</v>
      </c>
      <c r="O70" s="9">
        <f t="shared" si="19"/>
        <v>2862350.9288400002</v>
      </c>
      <c r="P70" s="9">
        <f t="shared" si="20"/>
        <v>2862351</v>
      </c>
      <c r="Q70" s="10"/>
      <c r="R70" s="206">
        <v>1356000</v>
      </c>
      <c r="S70" s="206">
        <v>1843837</v>
      </c>
      <c r="T70" s="216" t="s">
        <v>1012</v>
      </c>
      <c r="U70" s="9">
        <f t="shared" si="21"/>
        <v>2557954</v>
      </c>
      <c r="V70" s="251">
        <f t="shared" si="22"/>
        <v>255795.40000000002</v>
      </c>
      <c r="W70" s="251">
        <f t="shared" si="23"/>
        <v>48601.126000000004</v>
      </c>
      <c r="X70" s="251">
        <f t="shared" si="24"/>
        <v>2862351</v>
      </c>
      <c r="Y70" s="251">
        <f t="shared" si="25"/>
        <v>0</v>
      </c>
    </row>
    <row r="71" spans="1:25" ht="26.25" customHeight="1">
      <c r="A71" s="179" t="s">
        <v>949</v>
      </c>
      <c r="B71" s="8">
        <v>79667853</v>
      </c>
      <c r="C71" s="8" t="s">
        <v>301</v>
      </c>
      <c r="D71" s="8" t="s">
        <v>59</v>
      </c>
      <c r="E71" s="8" t="s">
        <v>302</v>
      </c>
      <c r="F71" s="8" t="s">
        <v>303</v>
      </c>
      <c r="G71" s="224" t="s">
        <v>13</v>
      </c>
      <c r="H71" s="8" t="s">
        <v>14</v>
      </c>
      <c r="I71" s="70"/>
      <c r="J71" s="8">
        <v>30</v>
      </c>
      <c r="K71" s="172">
        <v>2465868</v>
      </c>
      <c r="L71" s="171">
        <v>2557954.36</v>
      </c>
      <c r="M71" s="9">
        <f t="shared" si="17"/>
        <v>255795.43599999999</v>
      </c>
      <c r="N71" s="9">
        <f t="shared" si="18"/>
        <v>48601.132839999998</v>
      </c>
      <c r="O71" s="9">
        <f t="shared" si="19"/>
        <v>2862350.9288400002</v>
      </c>
      <c r="P71" s="9">
        <f t="shared" si="20"/>
        <v>2862351</v>
      </c>
      <c r="Q71" s="10"/>
      <c r="R71" s="205">
        <v>1390000</v>
      </c>
      <c r="S71" s="206">
        <v>1884844</v>
      </c>
      <c r="T71" s="216" t="s">
        <v>1012</v>
      </c>
      <c r="U71" s="9">
        <f t="shared" si="21"/>
        <v>2557954</v>
      </c>
      <c r="V71" s="251">
        <f t="shared" si="22"/>
        <v>255795.40000000002</v>
      </c>
      <c r="W71" s="251">
        <f t="shared" si="23"/>
        <v>48601.126000000004</v>
      </c>
      <c r="X71" s="251">
        <f t="shared" si="24"/>
        <v>2862351</v>
      </c>
      <c r="Y71" s="251">
        <f t="shared" si="25"/>
        <v>0</v>
      </c>
    </row>
    <row r="72" spans="1:25" ht="26.25" customHeight="1">
      <c r="A72" s="179" t="s">
        <v>949</v>
      </c>
      <c r="B72" s="8">
        <v>1023017321</v>
      </c>
      <c r="C72" s="8" t="s">
        <v>328</v>
      </c>
      <c r="D72" s="8" t="s">
        <v>287</v>
      </c>
      <c r="E72" s="8" t="s">
        <v>329</v>
      </c>
      <c r="F72" s="8" t="s">
        <v>222</v>
      </c>
      <c r="G72" s="224" t="s">
        <v>191</v>
      </c>
      <c r="H72" s="8" t="s">
        <v>14</v>
      </c>
      <c r="I72" s="70"/>
      <c r="J72" s="237">
        <v>29</v>
      </c>
      <c r="K72" s="172">
        <v>2465868</v>
      </c>
      <c r="L72" s="171">
        <v>2557954.36</v>
      </c>
      <c r="M72" s="9">
        <f t="shared" si="17"/>
        <v>255795.43599999999</v>
      </c>
      <c r="N72" s="9">
        <f t="shared" si="18"/>
        <v>48601.132839999998</v>
      </c>
      <c r="O72" s="9">
        <f t="shared" si="19"/>
        <v>2862350.9288400002</v>
      </c>
      <c r="P72" s="9">
        <f t="shared" si="20"/>
        <v>2766939</v>
      </c>
      <c r="Q72" s="10" t="s">
        <v>1046</v>
      </c>
      <c r="R72" s="208">
        <f>1256667+43334</f>
        <v>1300001</v>
      </c>
      <c r="S72" s="206">
        <v>1770444</v>
      </c>
      <c r="T72" s="216" t="s">
        <v>1012</v>
      </c>
      <c r="U72" s="9">
        <f t="shared" si="21"/>
        <v>2472689</v>
      </c>
      <c r="V72" s="251">
        <f t="shared" si="22"/>
        <v>247268.90000000002</v>
      </c>
      <c r="W72" s="251">
        <f t="shared" si="23"/>
        <v>46981.091000000008</v>
      </c>
      <c r="X72" s="251">
        <f t="shared" si="24"/>
        <v>2766939</v>
      </c>
      <c r="Y72" s="251">
        <f t="shared" si="25"/>
        <v>0</v>
      </c>
    </row>
    <row r="73" spans="1:25" ht="26.25" customHeight="1">
      <c r="A73" s="179" t="s">
        <v>949</v>
      </c>
      <c r="B73" s="8">
        <v>1049945027</v>
      </c>
      <c r="C73" s="8" t="s">
        <v>383</v>
      </c>
      <c r="D73" s="8" t="s">
        <v>384</v>
      </c>
      <c r="E73" s="8" t="s">
        <v>385</v>
      </c>
      <c r="F73" s="8" t="s">
        <v>226</v>
      </c>
      <c r="G73" s="224" t="s">
        <v>13</v>
      </c>
      <c r="H73" s="8" t="s">
        <v>14</v>
      </c>
      <c r="I73" s="70"/>
      <c r="J73" s="8">
        <v>30</v>
      </c>
      <c r="K73" s="172">
        <v>2465868</v>
      </c>
      <c r="L73" s="171">
        <v>2557954.36</v>
      </c>
      <c r="M73" s="9">
        <f t="shared" si="17"/>
        <v>255795.43599999999</v>
      </c>
      <c r="N73" s="9">
        <f t="shared" si="18"/>
        <v>48601.132839999998</v>
      </c>
      <c r="O73" s="9">
        <f t="shared" si="19"/>
        <v>2862350.9288400002</v>
      </c>
      <c r="P73" s="9">
        <f t="shared" si="20"/>
        <v>2862351</v>
      </c>
      <c r="Q73" s="10"/>
      <c r="R73" s="205">
        <v>1390000</v>
      </c>
      <c r="S73" s="206">
        <v>1884844</v>
      </c>
      <c r="T73" s="216" t="s">
        <v>1015</v>
      </c>
      <c r="U73" s="9">
        <f t="shared" si="21"/>
        <v>2557954</v>
      </c>
      <c r="V73" s="251">
        <f t="shared" si="22"/>
        <v>255795.40000000002</v>
      </c>
      <c r="W73" s="251">
        <f t="shared" si="23"/>
        <v>48601.126000000004</v>
      </c>
      <c r="X73" s="251">
        <f t="shared" si="24"/>
        <v>2862351</v>
      </c>
      <c r="Y73" s="251">
        <f t="shared" si="25"/>
        <v>0</v>
      </c>
    </row>
    <row r="74" spans="1:25" ht="26.25" customHeight="1">
      <c r="A74" s="239" t="s">
        <v>950</v>
      </c>
      <c r="B74" s="8">
        <v>26228331</v>
      </c>
      <c r="C74" s="8" t="s">
        <v>248</v>
      </c>
      <c r="D74" s="8" t="s">
        <v>186</v>
      </c>
      <c r="E74" s="8" t="s">
        <v>249</v>
      </c>
      <c r="F74" s="8"/>
      <c r="G74" s="224" t="s">
        <v>191</v>
      </c>
      <c r="H74" s="8" t="s">
        <v>14</v>
      </c>
      <c r="I74" s="70"/>
      <c r="J74" s="8">
        <v>30</v>
      </c>
      <c r="K74" s="172">
        <v>2465868</v>
      </c>
      <c r="L74" s="171">
        <v>2557954.36</v>
      </c>
      <c r="M74" s="9">
        <f>+L74*10%</f>
        <v>255795.43599999999</v>
      </c>
      <c r="N74" s="9">
        <f>+M74*19%</f>
        <v>48601.132839999998</v>
      </c>
      <c r="O74" s="9">
        <f>+L74+M74+N74</f>
        <v>2862350.9288400002</v>
      </c>
      <c r="P74" s="9">
        <f>+ROUND(((O74/30)*J74),0)</f>
        <v>2862351</v>
      </c>
      <c r="Q74" s="178"/>
      <c r="R74" s="205">
        <v>1300000</v>
      </c>
      <c r="S74" s="205">
        <v>1776294</v>
      </c>
      <c r="T74" s="218" t="s">
        <v>1016</v>
      </c>
      <c r="U74" s="9">
        <f>+ROUND(((L74/30)*J74),0)</f>
        <v>2557954</v>
      </c>
      <c r="V74" s="251">
        <f t="shared" si="22"/>
        <v>255795.40000000002</v>
      </c>
      <c r="W74" s="251">
        <f t="shared" si="23"/>
        <v>48601.126000000004</v>
      </c>
      <c r="X74" s="251">
        <f t="shared" si="24"/>
        <v>2862351</v>
      </c>
      <c r="Y74" s="251">
        <f t="shared" si="25"/>
        <v>0</v>
      </c>
    </row>
    <row r="75" spans="1:25" ht="26.25" customHeight="1">
      <c r="A75" s="179" t="s">
        <v>950</v>
      </c>
      <c r="B75" s="8">
        <v>1023898933</v>
      </c>
      <c r="C75" s="8" t="s">
        <v>320</v>
      </c>
      <c r="D75" s="8" t="s">
        <v>321</v>
      </c>
      <c r="E75" s="8" t="s">
        <v>60</v>
      </c>
      <c r="F75" s="8" t="s">
        <v>322</v>
      </c>
      <c r="G75" s="224" t="s">
        <v>191</v>
      </c>
      <c r="H75" s="8" t="s">
        <v>14</v>
      </c>
      <c r="I75" s="70"/>
      <c r="J75" s="8">
        <v>30</v>
      </c>
      <c r="K75" s="172">
        <v>2465868</v>
      </c>
      <c r="L75" s="171">
        <v>2557954.36</v>
      </c>
      <c r="M75" s="9">
        <f t="shared" si="17"/>
        <v>255795.43599999999</v>
      </c>
      <c r="N75" s="9">
        <f t="shared" si="18"/>
        <v>48601.132839999998</v>
      </c>
      <c r="O75" s="9">
        <f t="shared" si="19"/>
        <v>2862350.9288400002</v>
      </c>
      <c r="P75" s="9">
        <f t="shared" si="20"/>
        <v>2862351</v>
      </c>
      <c r="Q75" s="178"/>
      <c r="R75" s="205">
        <v>1300001</v>
      </c>
      <c r="S75" s="207">
        <v>1893645</v>
      </c>
      <c r="T75" s="216" t="s">
        <v>1012</v>
      </c>
      <c r="U75" s="9">
        <f t="shared" si="21"/>
        <v>2557954</v>
      </c>
      <c r="V75" s="251">
        <f t="shared" si="22"/>
        <v>255795.40000000002</v>
      </c>
      <c r="W75" s="251">
        <f t="shared" si="23"/>
        <v>48601.126000000004</v>
      </c>
      <c r="X75" s="251">
        <f t="shared" si="24"/>
        <v>2862351</v>
      </c>
      <c r="Y75" s="251">
        <f t="shared" si="25"/>
        <v>0</v>
      </c>
    </row>
    <row r="76" spans="1:25" ht="26.25" customHeight="1">
      <c r="A76" s="179" t="s">
        <v>951</v>
      </c>
      <c r="B76" s="8">
        <v>21119479</v>
      </c>
      <c r="C76" s="8" t="s">
        <v>240</v>
      </c>
      <c r="D76" s="8" t="s">
        <v>241</v>
      </c>
      <c r="E76" s="8" t="s">
        <v>53</v>
      </c>
      <c r="F76" s="8" t="s">
        <v>47</v>
      </c>
      <c r="G76" s="224" t="s">
        <v>191</v>
      </c>
      <c r="H76" s="8" t="s">
        <v>14</v>
      </c>
      <c r="I76" s="70"/>
      <c r="J76" s="8">
        <v>30</v>
      </c>
      <c r="K76" s="172">
        <v>2465868</v>
      </c>
      <c r="L76" s="171">
        <v>2557954.36</v>
      </c>
      <c r="M76" s="9">
        <f>+L76*10%</f>
        <v>255795.43599999999</v>
      </c>
      <c r="N76" s="9">
        <f>+M76*19%</f>
        <v>48601.132839999998</v>
      </c>
      <c r="O76" s="9">
        <f>+L76+M76+N76</f>
        <v>2862350.9288400002</v>
      </c>
      <c r="P76" s="9">
        <f>+ROUND(((O76/30)*J76),0)</f>
        <v>2862351</v>
      </c>
      <c r="Q76" s="10" t="s">
        <v>976</v>
      </c>
      <c r="R76" s="206">
        <v>1300000</v>
      </c>
      <c r="S76" s="206">
        <v>1776294</v>
      </c>
      <c r="T76" s="216" t="s">
        <v>1013</v>
      </c>
      <c r="U76" s="9">
        <f>+ROUND(((L76/30)*J76),0)</f>
        <v>2557954</v>
      </c>
      <c r="V76" s="251">
        <f t="shared" si="22"/>
        <v>255795.40000000002</v>
      </c>
      <c r="W76" s="251">
        <f t="shared" si="23"/>
        <v>48601.126000000004</v>
      </c>
      <c r="X76" s="251">
        <f t="shared" si="24"/>
        <v>2862351</v>
      </c>
      <c r="Y76" s="251">
        <f t="shared" si="25"/>
        <v>0</v>
      </c>
    </row>
    <row r="77" spans="1:25" ht="26.25" customHeight="1">
      <c r="A77" s="179" t="s">
        <v>951</v>
      </c>
      <c r="B77" s="8">
        <v>24176443</v>
      </c>
      <c r="C77" s="8" t="s">
        <v>90</v>
      </c>
      <c r="D77" s="8" t="s">
        <v>91</v>
      </c>
      <c r="E77" s="8" t="s">
        <v>92</v>
      </c>
      <c r="F77" s="8" t="s">
        <v>93</v>
      </c>
      <c r="G77" s="224" t="s">
        <v>191</v>
      </c>
      <c r="H77" s="8" t="s">
        <v>14</v>
      </c>
      <c r="I77" s="70"/>
      <c r="J77" s="8">
        <v>30</v>
      </c>
      <c r="K77" s="172">
        <v>2465868</v>
      </c>
      <c r="L77" s="171">
        <v>2557954.36</v>
      </c>
      <c r="M77" s="9">
        <f t="shared" si="17"/>
        <v>255795.43599999999</v>
      </c>
      <c r="N77" s="9">
        <f t="shared" si="18"/>
        <v>48601.132839999998</v>
      </c>
      <c r="O77" s="9">
        <f t="shared" si="19"/>
        <v>2862350.9288400002</v>
      </c>
      <c r="P77" s="9">
        <f t="shared" si="20"/>
        <v>2862351</v>
      </c>
      <c r="Q77" s="10"/>
      <c r="R77" s="205">
        <v>1300000</v>
      </c>
      <c r="S77" s="206">
        <v>1776294</v>
      </c>
      <c r="T77" s="216" t="s">
        <v>1012</v>
      </c>
      <c r="U77" s="9">
        <f t="shared" si="21"/>
        <v>2557954</v>
      </c>
      <c r="V77" s="251">
        <f t="shared" si="22"/>
        <v>255795.40000000002</v>
      </c>
      <c r="W77" s="251">
        <f t="shared" si="23"/>
        <v>48601.126000000004</v>
      </c>
      <c r="X77" s="251">
        <f t="shared" si="24"/>
        <v>2862351</v>
      </c>
      <c r="Y77" s="251">
        <f t="shared" si="25"/>
        <v>0</v>
      </c>
    </row>
    <row r="78" spans="1:25" ht="26.25" customHeight="1">
      <c r="A78" s="179" t="s">
        <v>951</v>
      </c>
      <c r="B78" s="8">
        <v>36466591</v>
      </c>
      <c r="C78" s="8" t="s">
        <v>266</v>
      </c>
      <c r="D78" s="8" t="s">
        <v>267</v>
      </c>
      <c r="E78" s="8" t="s">
        <v>268</v>
      </c>
      <c r="F78" s="8" t="s">
        <v>269</v>
      </c>
      <c r="G78" s="224" t="s">
        <v>191</v>
      </c>
      <c r="H78" s="8" t="s">
        <v>14</v>
      </c>
      <c r="I78" s="70"/>
      <c r="J78" s="8">
        <v>30</v>
      </c>
      <c r="K78" s="172">
        <v>2465868</v>
      </c>
      <c r="L78" s="171">
        <v>2557954.36</v>
      </c>
      <c r="M78" s="9">
        <f t="shared" si="17"/>
        <v>255795.43599999999</v>
      </c>
      <c r="N78" s="9">
        <f t="shared" si="18"/>
        <v>48601.132839999998</v>
      </c>
      <c r="O78" s="9">
        <f t="shared" si="19"/>
        <v>2862350.9288400002</v>
      </c>
      <c r="P78" s="9">
        <f t="shared" si="20"/>
        <v>2862351</v>
      </c>
      <c r="Q78" s="178"/>
      <c r="R78" s="205">
        <v>1300000</v>
      </c>
      <c r="S78" s="207">
        <v>1776294</v>
      </c>
      <c r="T78" s="216" t="s">
        <v>1012</v>
      </c>
      <c r="U78" s="9">
        <f t="shared" si="21"/>
        <v>2557954</v>
      </c>
      <c r="V78" s="251">
        <f t="shared" si="22"/>
        <v>255795.40000000002</v>
      </c>
      <c r="W78" s="251">
        <f t="shared" si="23"/>
        <v>48601.126000000004</v>
      </c>
      <c r="X78" s="251">
        <f t="shared" si="24"/>
        <v>2862351</v>
      </c>
      <c r="Y78" s="251">
        <f t="shared" si="25"/>
        <v>0</v>
      </c>
    </row>
    <row r="79" spans="1:25" ht="26.25" customHeight="1">
      <c r="A79" s="179" t="s">
        <v>951</v>
      </c>
      <c r="B79" s="8">
        <v>52317516</v>
      </c>
      <c r="C79" s="8" t="s">
        <v>73</v>
      </c>
      <c r="D79" s="8" t="s">
        <v>375</v>
      </c>
      <c r="E79" s="8" t="s">
        <v>376</v>
      </c>
      <c r="F79" s="8"/>
      <c r="G79" s="224" t="s">
        <v>191</v>
      </c>
      <c r="H79" s="8" t="s">
        <v>354</v>
      </c>
      <c r="I79" s="70"/>
      <c r="J79" s="8">
        <v>30</v>
      </c>
      <c r="K79" s="172">
        <v>2465868</v>
      </c>
      <c r="L79" s="171">
        <v>2557954.36</v>
      </c>
      <c r="M79" s="9">
        <f t="shared" si="17"/>
        <v>255795.43599999999</v>
      </c>
      <c r="N79" s="9">
        <f t="shared" si="18"/>
        <v>48601.132839999998</v>
      </c>
      <c r="O79" s="9">
        <f t="shared" si="19"/>
        <v>2862350.9288400002</v>
      </c>
      <c r="P79" s="9">
        <f t="shared" si="20"/>
        <v>2862351</v>
      </c>
      <c r="Q79" s="10"/>
      <c r="R79" s="205">
        <v>1300000</v>
      </c>
      <c r="S79" s="206">
        <v>1768172</v>
      </c>
      <c r="T79" s="217" t="s">
        <v>1011</v>
      </c>
      <c r="U79" s="9">
        <f t="shared" si="21"/>
        <v>2557954</v>
      </c>
      <c r="V79" s="251">
        <f t="shared" si="22"/>
        <v>255795.40000000002</v>
      </c>
      <c r="W79" s="251">
        <f t="shared" si="23"/>
        <v>48601.126000000004</v>
      </c>
      <c r="X79" s="251">
        <f t="shared" si="24"/>
        <v>2862351</v>
      </c>
      <c r="Y79" s="251">
        <f t="shared" si="25"/>
        <v>0</v>
      </c>
    </row>
    <row r="80" spans="1:25" ht="26.25" customHeight="1">
      <c r="A80" s="179" t="s">
        <v>951</v>
      </c>
      <c r="B80" s="8">
        <v>55155416</v>
      </c>
      <c r="C80" s="8" t="s">
        <v>234</v>
      </c>
      <c r="D80" s="8" t="s">
        <v>46</v>
      </c>
      <c r="E80" s="8" t="s">
        <v>169</v>
      </c>
      <c r="F80" s="8" t="s">
        <v>183</v>
      </c>
      <c r="G80" s="224" t="s">
        <v>210</v>
      </c>
      <c r="H80" s="8" t="s">
        <v>14</v>
      </c>
      <c r="I80" s="70"/>
      <c r="J80" s="237">
        <v>28</v>
      </c>
      <c r="K80" s="172">
        <v>2465868</v>
      </c>
      <c r="L80" s="171">
        <v>2557954.36</v>
      </c>
      <c r="M80" s="9">
        <f t="shared" si="17"/>
        <v>255795.43599999999</v>
      </c>
      <c r="N80" s="9">
        <f t="shared" si="18"/>
        <v>48601.132839999998</v>
      </c>
      <c r="O80" s="9">
        <f t="shared" si="19"/>
        <v>2862350.9288400002</v>
      </c>
      <c r="P80" s="9">
        <f t="shared" si="20"/>
        <v>2671528</v>
      </c>
      <c r="Q80" s="178" t="s">
        <v>1047</v>
      </c>
      <c r="R80" s="209">
        <f>90400+1265600</f>
        <v>1356000</v>
      </c>
      <c r="S80" s="207">
        <v>1830787</v>
      </c>
      <c r="T80" s="216" t="s">
        <v>1012</v>
      </c>
      <c r="U80" s="9">
        <f t="shared" si="21"/>
        <v>2387424</v>
      </c>
      <c r="V80" s="251">
        <f t="shared" si="22"/>
        <v>238742.40000000002</v>
      </c>
      <c r="W80" s="251">
        <f t="shared" si="23"/>
        <v>45361.056000000004</v>
      </c>
      <c r="X80" s="251">
        <f t="shared" si="24"/>
        <v>2671527</v>
      </c>
      <c r="Y80" s="251">
        <f t="shared" si="25"/>
        <v>-1</v>
      </c>
    </row>
    <row r="81" spans="1:25" ht="26.25" customHeight="1">
      <c r="A81" s="179" t="s">
        <v>951</v>
      </c>
      <c r="B81" s="8">
        <v>79398677</v>
      </c>
      <c r="C81" s="8" t="s">
        <v>312</v>
      </c>
      <c r="D81" s="8" t="s">
        <v>313</v>
      </c>
      <c r="E81" s="8" t="s">
        <v>314</v>
      </c>
      <c r="F81" s="8"/>
      <c r="G81" s="224" t="s">
        <v>13</v>
      </c>
      <c r="H81" s="8" t="s">
        <v>14</v>
      </c>
      <c r="I81" s="70"/>
      <c r="J81" s="8">
        <v>30</v>
      </c>
      <c r="K81" s="172">
        <v>2465868</v>
      </c>
      <c r="L81" s="171">
        <v>2557954.36</v>
      </c>
      <c r="M81" s="9">
        <f t="shared" si="17"/>
        <v>255795.43599999999</v>
      </c>
      <c r="N81" s="9">
        <f t="shared" si="18"/>
        <v>48601.132839999998</v>
      </c>
      <c r="O81" s="9">
        <f t="shared" si="19"/>
        <v>2862350.9288400002</v>
      </c>
      <c r="P81" s="9">
        <f t="shared" si="20"/>
        <v>2862351</v>
      </c>
      <c r="Q81" s="10"/>
      <c r="R81" s="205">
        <v>1390000</v>
      </c>
      <c r="S81" s="206">
        <v>1880533</v>
      </c>
      <c r="T81" s="216" t="s">
        <v>1019</v>
      </c>
      <c r="U81" s="9">
        <f t="shared" si="21"/>
        <v>2557954</v>
      </c>
      <c r="V81" s="251">
        <f t="shared" si="22"/>
        <v>255795.40000000002</v>
      </c>
      <c r="W81" s="251">
        <f t="shared" si="23"/>
        <v>48601.126000000004</v>
      </c>
      <c r="X81" s="251">
        <f t="shared" si="24"/>
        <v>2862351</v>
      </c>
      <c r="Y81" s="251">
        <f t="shared" si="25"/>
        <v>0</v>
      </c>
    </row>
    <row r="82" spans="1:25" ht="26.25" customHeight="1">
      <c r="A82" s="179" t="s">
        <v>951</v>
      </c>
      <c r="B82" s="8">
        <v>1023879634</v>
      </c>
      <c r="C82" s="8" t="s">
        <v>19</v>
      </c>
      <c r="D82" s="8" t="s">
        <v>418</v>
      </c>
      <c r="E82" s="8" t="s">
        <v>419</v>
      </c>
      <c r="F82" s="8" t="s">
        <v>187</v>
      </c>
      <c r="G82" s="224" t="s">
        <v>13</v>
      </c>
      <c r="H82" s="8" t="s">
        <v>420</v>
      </c>
      <c r="I82" s="70"/>
      <c r="J82" s="8">
        <v>30</v>
      </c>
      <c r="K82" s="172">
        <v>2465868</v>
      </c>
      <c r="L82" s="171">
        <v>2557954.36</v>
      </c>
      <c r="M82" s="9">
        <f t="shared" si="17"/>
        <v>255795.43599999999</v>
      </c>
      <c r="N82" s="9">
        <f t="shared" si="18"/>
        <v>48601.132839999998</v>
      </c>
      <c r="O82" s="9">
        <f t="shared" si="19"/>
        <v>2862350.9288400002</v>
      </c>
      <c r="P82" s="9">
        <f t="shared" si="20"/>
        <v>2862351</v>
      </c>
      <c r="Q82" s="10"/>
      <c r="R82" s="205">
        <v>1390000</v>
      </c>
      <c r="S82" s="206">
        <v>1777067</v>
      </c>
      <c r="T82" s="216" t="s">
        <v>1012</v>
      </c>
      <c r="U82" s="9">
        <f t="shared" si="21"/>
        <v>2557954</v>
      </c>
      <c r="V82" s="251">
        <f t="shared" si="22"/>
        <v>255795.40000000002</v>
      </c>
      <c r="W82" s="251">
        <f t="shared" si="23"/>
        <v>48601.126000000004</v>
      </c>
      <c r="X82" s="251">
        <f t="shared" si="24"/>
        <v>2862351</v>
      </c>
      <c r="Y82" s="251">
        <f t="shared" si="25"/>
        <v>0</v>
      </c>
    </row>
    <row r="83" spans="1:25" ht="24" customHeight="1">
      <c r="A83" s="179" t="s">
        <v>951</v>
      </c>
      <c r="B83" s="8">
        <v>1024532469</v>
      </c>
      <c r="C83" s="8" t="s">
        <v>266</v>
      </c>
      <c r="D83" s="8" t="s">
        <v>367</v>
      </c>
      <c r="E83" s="8" t="s">
        <v>71</v>
      </c>
      <c r="F83" s="8" t="s">
        <v>368</v>
      </c>
      <c r="G83" s="224" t="s">
        <v>191</v>
      </c>
      <c r="H83" s="8" t="s">
        <v>354</v>
      </c>
      <c r="I83" s="70"/>
      <c r="J83" s="237">
        <v>29</v>
      </c>
      <c r="K83" s="172">
        <v>2465868</v>
      </c>
      <c r="L83" s="171">
        <v>2557954.36</v>
      </c>
      <c r="M83" s="9">
        <f t="shared" si="17"/>
        <v>255795.43599999999</v>
      </c>
      <c r="N83" s="9">
        <f t="shared" si="18"/>
        <v>48601.132839999998</v>
      </c>
      <c r="O83" s="9">
        <f t="shared" si="19"/>
        <v>2862350.9288400002</v>
      </c>
      <c r="P83" s="9">
        <f t="shared" si="20"/>
        <v>2766939</v>
      </c>
      <c r="Q83" s="178" t="s">
        <v>1048</v>
      </c>
      <c r="R83" s="208">
        <f>1213334+86667</f>
        <v>1300001</v>
      </c>
      <c r="S83" s="207">
        <v>1657817</v>
      </c>
      <c r="T83" s="216" t="s">
        <v>1019</v>
      </c>
      <c r="U83" s="9">
        <f t="shared" si="21"/>
        <v>2472689</v>
      </c>
      <c r="V83" s="251">
        <f t="shared" si="22"/>
        <v>247268.90000000002</v>
      </c>
      <c r="W83" s="251">
        <f t="shared" si="23"/>
        <v>46981.091000000008</v>
      </c>
      <c r="X83" s="251">
        <f t="shared" si="24"/>
        <v>2766939</v>
      </c>
      <c r="Y83" s="251">
        <f t="shared" si="25"/>
        <v>0</v>
      </c>
    </row>
    <row r="84" spans="1:25" ht="26.25" customHeight="1">
      <c r="A84" s="179" t="s">
        <v>951</v>
      </c>
      <c r="B84" s="8">
        <v>53048504</v>
      </c>
      <c r="C84" s="8" t="s">
        <v>756</v>
      </c>
      <c r="D84" s="8" t="s">
        <v>35</v>
      </c>
      <c r="E84" s="8" t="s">
        <v>322</v>
      </c>
      <c r="F84" s="8"/>
      <c r="G84" s="8" t="s">
        <v>410</v>
      </c>
      <c r="H84" s="70"/>
      <c r="I84" s="70"/>
      <c r="J84" s="237">
        <v>1</v>
      </c>
      <c r="K84" s="172">
        <v>2465868</v>
      </c>
      <c r="L84" s="171">
        <v>2557954.36</v>
      </c>
      <c r="M84" s="9">
        <f t="shared" si="17"/>
        <v>255795.43599999999</v>
      </c>
      <c r="N84" s="9">
        <f t="shared" si="18"/>
        <v>48601.132839999998</v>
      </c>
      <c r="O84" s="9">
        <f t="shared" ref="O84" si="26">+L84+M84+N84</f>
        <v>2862350.9288400002</v>
      </c>
      <c r="P84" s="9">
        <f t="shared" si="20"/>
        <v>95412</v>
      </c>
      <c r="Q84" s="186" t="s">
        <v>1049</v>
      </c>
      <c r="R84" s="215">
        <v>1300000</v>
      </c>
      <c r="S84" s="215">
        <v>1358000</v>
      </c>
      <c r="T84" s="186" t="s">
        <v>966</v>
      </c>
      <c r="U84" s="9">
        <f t="shared" si="21"/>
        <v>85265</v>
      </c>
      <c r="V84" s="251">
        <f t="shared" si="22"/>
        <v>8526.5</v>
      </c>
      <c r="W84" s="251">
        <f t="shared" si="23"/>
        <v>1620.0350000000001</v>
      </c>
      <c r="X84" s="251">
        <f t="shared" si="24"/>
        <v>95412</v>
      </c>
      <c r="Y84" s="251">
        <f t="shared" si="25"/>
        <v>0</v>
      </c>
    </row>
    <row r="85" spans="1:25" ht="26.25" customHeight="1">
      <c r="A85" s="179" t="s">
        <v>951</v>
      </c>
      <c r="B85" s="8">
        <v>1024550991</v>
      </c>
      <c r="C85" s="8" t="s">
        <v>15</v>
      </c>
      <c r="D85" s="8" t="s">
        <v>19</v>
      </c>
      <c r="E85" s="8" t="s">
        <v>20</v>
      </c>
      <c r="F85" s="8" t="s">
        <v>21</v>
      </c>
      <c r="G85" s="224" t="s">
        <v>191</v>
      </c>
      <c r="H85" s="8" t="s">
        <v>14</v>
      </c>
      <c r="I85" s="70"/>
      <c r="J85" s="8">
        <v>30</v>
      </c>
      <c r="K85" s="172">
        <v>2465868</v>
      </c>
      <c r="L85" s="171">
        <v>2557954.36</v>
      </c>
      <c r="M85" s="9">
        <f t="shared" si="17"/>
        <v>255795.43599999999</v>
      </c>
      <c r="N85" s="9">
        <f t="shared" si="18"/>
        <v>48601.132839999998</v>
      </c>
      <c r="O85" s="9">
        <f t="shared" si="19"/>
        <v>2862350.9288400002</v>
      </c>
      <c r="P85" s="9">
        <f t="shared" si="20"/>
        <v>2862351</v>
      </c>
      <c r="Q85" s="10"/>
      <c r="R85" s="206">
        <v>1300000</v>
      </c>
      <c r="S85" s="206">
        <v>1776294</v>
      </c>
      <c r="T85" s="216" t="s">
        <v>1017</v>
      </c>
      <c r="U85" s="9">
        <f t="shared" si="21"/>
        <v>2557954</v>
      </c>
      <c r="V85" s="251">
        <f t="shared" si="22"/>
        <v>255795.40000000002</v>
      </c>
      <c r="W85" s="251">
        <f t="shared" si="23"/>
        <v>48601.126000000004</v>
      </c>
      <c r="X85" s="251">
        <f t="shared" si="24"/>
        <v>2862351</v>
      </c>
      <c r="Y85" s="251">
        <f t="shared" si="25"/>
        <v>0</v>
      </c>
    </row>
    <row r="86" spans="1:25" ht="26.25" customHeight="1">
      <c r="A86" s="179" t="s">
        <v>951</v>
      </c>
      <c r="B86" s="8">
        <v>1051737185</v>
      </c>
      <c r="C86" s="8" t="s">
        <v>67</v>
      </c>
      <c r="D86" s="8" t="s">
        <v>227</v>
      </c>
      <c r="E86" s="8" t="s">
        <v>406</v>
      </c>
      <c r="F86" s="8"/>
      <c r="G86" s="224" t="s">
        <v>191</v>
      </c>
      <c r="H86" s="8" t="s">
        <v>393</v>
      </c>
      <c r="I86" s="70"/>
      <c r="J86" s="8">
        <v>30</v>
      </c>
      <c r="K86" s="172">
        <v>2465868</v>
      </c>
      <c r="L86" s="171">
        <v>2557954.36</v>
      </c>
      <c r="M86" s="9">
        <f t="shared" si="17"/>
        <v>255795.43599999999</v>
      </c>
      <c r="N86" s="9">
        <f t="shared" si="18"/>
        <v>48601.132839999998</v>
      </c>
      <c r="O86" s="9">
        <f t="shared" si="19"/>
        <v>2862350.9288400002</v>
      </c>
      <c r="P86" s="9">
        <f t="shared" si="20"/>
        <v>2862351</v>
      </c>
      <c r="Q86" s="178"/>
      <c r="R86" s="206">
        <v>1300000</v>
      </c>
      <c r="S86" s="207">
        <v>1755089</v>
      </c>
      <c r="T86" s="216" t="s">
        <v>1012</v>
      </c>
      <c r="U86" s="9">
        <f t="shared" si="21"/>
        <v>2557954</v>
      </c>
      <c r="V86" s="251">
        <f t="shared" si="22"/>
        <v>255795.40000000002</v>
      </c>
      <c r="W86" s="251">
        <f t="shared" si="23"/>
        <v>48601.126000000004</v>
      </c>
      <c r="X86" s="251">
        <f t="shared" si="24"/>
        <v>2862351</v>
      </c>
      <c r="Y86" s="251">
        <f t="shared" si="25"/>
        <v>0</v>
      </c>
    </row>
    <row r="87" spans="1:25" ht="26.25" customHeight="1">
      <c r="A87" s="179" t="s">
        <v>951</v>
      </c>
      <c r="B87" s="8">
        <v>1073698399</v>
      </c>
      <c r="C87" s="8" t="s">
        <v>394</v>
      </c>
      <c r="D87" s="8" t="s">
        <v>363</v>
      </c>
      <c r="E87" s="8" t="s">
        <v>395</v>
      </c>
      <c r="F87" s="8" t="s">
        <v>396</v>
      </c>
      <c r="G87" s="224" t="s">
        <v>191</v>
      </c>
      <c r="H87" s="8" t="s">
        <v>393</v>
      </c>
      <c r="I87" s="70"/>
      <c r="J87" s="237">
        <v>28</v>
      </c>
      <c r="K87" s="172">
        <v>2465868</v>
      </c>
      <c r="L87" s="171">
        <v>2557954.36</v>
      </c>
      <c r="M87" s="9">
        <f t="shared" si="17"/>
        <v>255795.43599999999</v>
      </c>
      <c r="N87" s="9">
        <f t="shared" si="18"/>
        <v>48601.132839999998</v>
      </c>
      <c r="O87" s="9">
        <f t="shared" si="19"/>
        <v>2862350.9288400002</v>
      </c>
      <c r="P87" s="9">
        <f t="shared" si="20"/>
        <v>2671528</v>
      </c>
      <c r="Q87" s="10" t="s">
        <v>1051</v>
      </c>
      <c r="R87" s="211">
        <f>1170000+86667+43334</f>
        <v>1300001</v>
      </c>
      <c r="S87" s="206">
        <v>1605756</v>
      </c>
      <c r="T87" s="216" t="s">
        <v>1016</v>
      </c>
      <c r="U87" s="9">
        <f t="shared" si="21"/>
        <v>2387424</v>
      </c>
      <c r="V87" s="251">
        <f t="shared" si="22"/>
        <v>238742.40000000002</v>
      </c>
      <c r="W87" s="251">
        <f t="shared" si="23"/>
        <v>45361.056000000004</v>
      </c>
      <c r="X87" s="251">
        <f t="shared" si="24"/>
        <v>2671527</v>
      </c>
      <c r="Y87" s="251">
        <f t="shared" si="25"/>
        <v>-1</v>
      </c>
    </row>
    <row r="88" spans="1:25" ht="26.25" customHeight="1">
      <c r="A88" s="179" t="s">
        <v>951</v>
      </c>
      <c r="B88" s="8">
        <v>53048504</v>
      </c>
      <c r="C88" s="8" t="s">
        <v>756</v>
      </c>
      <c r="D88" s="8" t="s">
        <v>35</v>
      </c>
      <c r="E88" s="8" t="s">
        <v>322</v>
      </c>
      <c r="F88" s="8"/>
      <c r="G88" s="8" t="s">
        <v>410</v>
      </c>
      <c r="H88" s="70"/>
      <c r="I88" s="70"/>
      <c r="J88" s="237">
        <v>2</v>
      </c>
      <c r="K88" s="172">
        <v>2465868</v>
      </c>
      <c r="L88" s="171">
        <v>2557954.36</v>
      </c>
      <c r="M88" s="9">
        <f t="shared" ref="M88" si="27">+L88*10%</f>
        <v>255795.43599999999</v>
      </c>
      <c r="N88" s="9">
        <f t="shared" ref="N88" si="28">+M88*19%</f>
        <v>48601.132839999998</v>
      </c>
      <c r="O88" s="9">
        <f t="shared" si="19"/>
        <v>2862350.9288400002</v>
      </c>
      <c r="P88" s="9">
        <f t="shared" ref="P88" si="29">+ROUND(((O88/30)*J88),0)</f>
        <v>190823</v>
      </c>
      <c r="Q88" s="186" t="s">
        <v>1052</v>
      </c>
      <c r="R88" s="215">
        <v>1300000</v>
      </c>
      <c r="S88" s="215">
        <v>1358000</v>
      </c>
      <c r="T88" s="186" t="s">
        <v>966</v>
      </c>
      <c r="U88" s="9">
        <f t="shared" si="21"/>
        <v>170530</v>
      </c>
      <c r="V88" s="251">
        <f t="shared" si="22"/>
        <v>17053</v>
      </c>
      <c r="W88" s="251">
        <f t="shared" si="23"/>
        <v>3240.07</v>
      </c>
      <c r="X88" s="251">
        <f t="shared" si="24"/>
        <v>190823</v>
      </c>
      <c r="Y88" s="251">
        <f t="shared" si="25"/>
        <v>0</v>
      </c>
    </row>
    <row r="89" spans="1:25">
      <c r="A89" s="179" t="s">
        <v>951</v>
      </c>
      <c r="B89" s="8">
        <v>1073710462</v>
      </c>
      <c r="C89" s="8" t="s">
        <v>221</v>
      </c>
      <c r="D89" s="8" t="s">
        <v>94</v>
      </c>
      <c r="E89" s="8" t="s">
        <v>222</v>
      </c>
      <c r="F89" s="8" t="s">
        <v>223</v>
      </c>
      <c r="G89" s="224" t="s">
        <v>191</v>
      </c>
      <c r="H89" s="8" t="s">
        <v>14</v>
      </c>
      <c r="I89" s="70"/>
      <c r="J89" s="8">
        <v>30</v>
      </c>
      <c r="K89" s="172">
        <v>2465868</v>
      </c>
      <c r="L89" s="171">
        <v>2557954.36</v>
      </c>
      <c r="M89" s="9">
        <f t="shared" si="17"/>
        <v>255795.43599999999</v>
      </c>
      <c r="N89" s="9">
        <f t="shared" si="18"/>
        <v>48601.132839999998</v>
      </c>
      <c r="O89" s="9">
        <f t="shared" si="19"/>
        <v>2862350.9288400002</v>
      </c>
      <c r="P89" s="9">
        <f t="shared" si="20"/>
        <v>2862351</v>
      </c>
      <c r="Q89" s="178"/>
      <c r="R89" s="206">
        <v>1300000</v>
      </c>
      <c r="S89" s="207">
        <v>1775395</v>
      </c>
      <c r="T89" s="216" t="s">
        <v>1013</v>
      </c>
      <c r="U89" s="9">
        <f t="shared" si="21"/>
        <v>2557954</v>
      </c>
      <c r="V89" s="251">
        <f t="shared" si="22"/>
        <v>255795.40000000002</v>
      </c>
      <c r="W89" s="251">
        <f t="shared" si="23"/>
        <v>48601.126000000004</v>
      </c>
      <c r="X89" s="251">
        <f t="shared" si="24"/>
        <v>2862351</v>
      </c>
      <c r="Y89" s="251">
        <f t="shared" si="25"/>
        <v>0</v>
      </c>
    </row>
    <row r="90" spans="1:25">
      <c r="A90" s="179" t="s">
        <v>952</v>
      </c>
      <c r="B90" s="8">
        <v>20485336</v>
      </c>
      <c r="C90" s="8" t="s">
        <v>83</v>
      </c>
      <c r="D90" s="8" t="s">
        <v>84</v>
      </c>
      <c r="E90" s="8" t="s">
        <v>85</v>
      </c>
      <c r="F90" s="8" t="s">
        <v>86</v>
      </c>
      <c r="G90" s="224" t="s">
        <v>191</v>
      </c>
      <c r="H90" s="8" t="s">
        <v>14</v>
      </c>
      <c r="I90" s="70"/>
      <c r="J90" s="8">
        <v>30</v>
      </c>
      <c r="K90" s="172">
        <v>2465868</v>
      </c>
      <c r="L90" s="171">
        <v>2557954.36</v>
      </c>
      <c r="M90" s="9">
        <f t="shared" si="17"/>
        <v>255795.43599999999</v>
      </c>
      <c r="N90" s="9">
        <f t="shared" si="18"/>
        <v>48601.132839999998</v>
      </c>
      <c r="O90" s="9">
        <f t="shared" si="19"/>
        <v>2862350.9288400002</v>
      </c>
      <c r="P90" s="9">
        <f t="shared" si="20"/>
        <v>2862351</v>
      </c>
      <c r="Q90" s="10"/>
      <c r="R90" s="206">
        <v>1300000</v>
      </c>
      <c r="S90" s="206">
        <v>1776294</v>
      </c>
      <c r="T90" s="216" t="s">
        <v>1013</v>
      </c>
      <c r="U90" s="9">
        <f t="shared" si="21"/>
        <v>2557954</v>
      </c>
      <c r="V90" s="251">
        <f t="shared" si="22"/>
        <v>255795.40000000002</v>
      </c>
      <c r="W90" s="251">
        <f t="shared" si="23"/>
        <v>48601.126000000004</v>
      </c>
      <c r="X90" s="251">
        <f t="shared" si="24"/>
        <v>2862351</v>
      </c>
      <c r="Y90" s="251">
        <f t="shared" si="25"/>
        <v>0</v>
      </c>
    </row>
    <row r="91" spans="1:25">
      <c r="A91" s="179" t="s">
        <v>952</v>
      </c>
      <c r="B91" s="198">
        <v>41932330</v>
      </c>
      <c r="C91" s="198" t="s">
        <v>262</v>
      </c>
      <c r="D91" s="198" t="s">
        <v>366</v>
      </c>
      <c r="E91" s="198" t="s">
        <v>160</v>
      </c>
      <c r="F91" s="198"/>
      <c r="G91" s="228" t="s">
        <v>191</v>
      </c>
      <c r="H91" s="198" t="s">
        <v>354</v>
      </c>
      <c r="I91" s="70"/>
      <c r="J91" s="8">
        <v>30</v>
      </c>
      <c r="K91" s="172">
        <v>2465868</v>
      </c>
      <c r="L91" s="171">
        <v>2557954.36</v>
      </c>
      <c r="M91" s="9">
        <f t="shared" si="17"/>
        <v>255795.43599999999</v>
      </c>
      <c r="N91" s="9">
        <f t="shared" si="18"/>
        <v>48601.132839999998</v>
      </c>
      <c r="O91" s="9">
        <f t="shared" si="19"/>
        <v>2862350.9288400002</v>
      </c>
      <c r="P91" s="9">
        <f t="shared" si="20"/>
        <v>2862351</v>
      </c>
      <c r="Q91" s="10"/>
      <c r="R91" s="206">
        <v>1300000</v>
      </c>
      <c r="S91" s="206">
        <v>1768172</v>
      </c>
      <c r="T91" s="217" t="s">
        <v>1011</v>
      </c>
      <c r="U91" s="9">
        <f t="shared" si="21"/>
        <v>2557954</v>
      </c>
      <c r="V91" s="251">
        <f t="shared" si="22"/>
        <v>255795.40000000002</v>
      </c>
      <c r="W91" s="251">
        <f t="shared" si="23"/>
        <v>48601.126000000004</v>
      </c>
      <c r="X91" s="251">
        <f t="shared" si="24"/>
        <v>2862351</v>
      </c>
      <c r="Y91" s="251">
        <f t="shared" si="25"/>
        <v>0</v>
      </c>
    </row>
    <row r="92" spans="1:25">
      <c r="A92" s="179" t="s">
        <v>952</v>
      </c>
      <c r="B92" s="8">
        <v>52164364</v>
      </c>
      <c r="C92" s="8" t="s">
        <v>41</v>
      </c>
      <c r="D92" s="8" t="s">
        <v>46</v>
      </c>
      <c r="E92" s="8" t="s">
        <v>47</v>
      </c>
      <c r="F92" s="8" t="s">
        <v>48</v>
      </c>
      <c r="G92" s="224" t="s">
        <v>191</v>
      </c>
      <c r="H92" s="8" t="s">
        <v>14</v>
      </c>
      <c r="I92" s="70"/>
      <c r="J92" s="8">
        <v>30</v>
      </c>
      <c r="K92" s="172">
        <v>2465868</v>
      </c>
      <c r="L92" s="171">
        <v>2557954.36</v>
      </c>
      <c r="M92" s="9">
        <f t="shared" si="17"/>
        <v>255795.43599999999</v>
      </c>
      <c r="N92" s="9">
        <f t="shared" si="18"/>
        <v>48601.132839999998</v>
      </c>
      <c r="O92" s="9">
        <f t="shared" si="19"/>
        <v>2862350.9288400002</v>
      </c>
      <c r="P92" s="9">
        <f t="shared" si="20"/>
        <v>2862351</v>
      </c>
      <c r="Q92" s="10"/>
      <c r="R92" s="206">
        <v>1300000</v>
      </c>
      <c r="S92" s="206">
        <v>1776294</v>
      </c>
      <c r="T92" s="216" t="s">
        <v>1013</v>
      </c>
      <c r="U92" s="9">
        <f t="shared" si="21"/>
        <v>2557954</v>
      </c>
      <c r="V92" s="251">
        <f t="shared" si="22"/>
        <v>255795.40000000002</v>
      </c>
      <c r="W92" s="251">
        <f t="shared" si="23"/>
        <v>48601.126000000004</v>
      </c>
      <c r="X92" s="251">
        <f t="shared" si="24"/>
        <v>2862351</v>
      </c>
      <c r="Y92" s="251">
        <f t="shared" si="25"/>
        <v>0</v>
      </c>
    </row>
    <row r="93" spans="1:25">
      <c r="A93" s="179" t="s">
        <v>952</v>
      </c>
      <c r="B93" s="8">
        <v>52286905</v>
      </c>
      <c r="C93" s="8" t="s">
        <v>334</v>
      </c>
      <c r="D93" s="8" t="s">
        <v>335</v>
      </c>
      <c r="E93" s="8" t="s">
        <v>156</v>
      </c>
      <c r="F93" s="8" t="s">
        <v>146</v>
      </c>
      <c r="G93" s="224" t="s">
        <v>191</v>
      </c>
      <c r="H93" s="8" t="s">
        <v>14</v>
      </c>
      <c r="I93" s="70"/>
      <c r="J93" s="8">
        <v>30</v>
      </c>
      <c r="K93" s="172">
        <v>2465868</v>
      </c>
      <c r="L93" s="171">
        <v>2557954.36</v>
      </c>
      <c r="M93" s="9">
        <f t="shared" si="17"/>
        <v>255795.43599999999</v>
      </c>
      <c r="N93" s="9">
        <f t="shared" si="18"/>
        <v>48601.132839999998</v>
      </c>
      <c r="O93" s="9">
        <f t="shared" si="19"/>
        <v>2862350.9288400002</v>
      </c>
      <c r="P93" s="9">
        <f t="shared" si="20"/>
        <v>2862351</v>
      </c>
      <c r="Q93" s="10"/>
      <c r="R93" s="206">
        <v>1300000</v>
      </c>
      <c r="S93" s="206">
        <v>1776294</v>
      </c>
      <c r="T93" s="216" t="s">
        <v>1013</v>
      </c>
      <c r="U93" s="9">
        <f t="shared" si="21"/>
        <v>2557954</v>
      </c>
      <c r="V93" s="251">
        <f t="shared" si="22"/>
        <v>255795.40000000002</v>
      </c>
      <c r="W93" s="251">
        <f t="shared" si="23"/>
        <v>48601.126000000004</v>
      </c>
      <c r="X93" s="251">
        <f t="shared" si="24"/>
        <v>2862351</v>
      </c>
      <c r="Y93" s="251">
        <f t="shared" si="25"/>
        <v>0</v>
      </c>
    </row>
    <row r="94" spans="1:25">
      <c r="A94" s="179" t="s">
        <v>952</v>
      </c>
      <c r="B94" s="198">
        <v>52295952</v>
      </c>
      <c r="C94" s="198" t="s">
        <v>73</v>
      </c>
      <c r="D94" s="198" t="s">
        <v>94</v>
      </c>
      <c r="E94" s="198" t="s">
        <v>33</v>
      </c>
      <c r="F94" s="198"/>
      <c r="G94" s="228" t="s">
        <v>191</v>
      </c>
      <c r="H94" s="198" t="s">
        <v>393</v>
      </c>
      <c r="I94" s="70"/>
      <c r="J94" s="8">
        <v>30</v>
      </c>
      <c r="K94" s="172">
        <v>2465868</v>
      </c>
      <c r="L94" s="171">
        <v>2557954.36</v>
      </c>
      <c r="M94" s="9">
        <f t="shared" si="17"/>
        <v>255795.43599999999</v>
      </c>
      <c r="N94" s="9">
        <f t="shared" si="18"/>
        <v>48601.132839999998</v>
      </c>
      <c r="O94" s="9">
        <f t="shared" si="19"/>
        <v>2862350.9288400002</v>
      </c>
      <c r="P94" s="9">
        <f t="shared" si="20"/>
        <v>2862351</v>
      </c>
      <c r="Q94" s="10"/>
      <c r="R94" s="206">
        <v>1300000</v>
      </c>
      <c r="S94" s="206">
        <v>1755989</v>
      </c>
      <c r="T94" s="216" t="s">
        <v>1015</v>
      </c>
      <c r="U94" s="9">
        <f t="shared" si="21"/>
        <v>2557954</v>
      </c>
      <c r="V94" s="251">
        <f t="shared" si="22"/>
        <v>255795.40000000002</v>
      </c>
      <c r="W94" s="251">
        <f t="shared" si="23"/>
        <v>48601.126000000004</v>
      </c>
      <c r="X94" s="251">
        <f t="shared" si="24"/>
        <v>2862351</v>
      </c>
      <c r="Y94" s="251">
        <f t="shared" si="25"/>
        <v>0</v>
      </c>
    </row>
    <row r="95" spans="1:25" ht="26.25" customHeight="1">
      <c r="A95" s="179" t="s">
        <v>952</v>
      </c>
      <c r="B95" s="198">
        <v>80055473</v>
      </c>
      <c r="C95" s="198" t="s">
        <v>745</v>
      </c>
      <c r="D95" s="198" t="s">
        <v>746</v>
      </c>
      <c r="E95" s="198" t="s">
        <v>747</v>
      </c>
      <c r="F95" s="198" t="s">
        <v>748</v>
      </c>
      <c r="G95" s="8" t="s">
        <v>13</v>
      </c>
      <c r="H95" s="199">
        <v>45421</v>
      </c>
      <c r="I95" s="70">
        <v>45428</v>
      </c>
      <c r="J95" s="185">
        <v>0</v>
      </c>
      <c r="K95" s="172">
        <v>2465868</v>
      </c>
      <c r="L95" s="171">
        <v>2557954.36</v>
      </c>
      <c r="M95" s="9">
        <f t="shared" si="17"/>
        <v>255795.43599999999</v>
      </c>
      <c r="N95" s="9">
        <f t="shared" si="18"/>
        <v>48601.132839999998</v>
      </c>
      <c r="O95" s="9">
        <f t="shared" si="19"/>
        <v>2862350.9288400002</v>
      </c>
      <c r="P95" s="9">
        <f t="shared" si="20"/>
        <v>0</v>
      </c>
      <c r="Q95" s="200" t="s">
        <v>975</v>
      </c>
      <c r="R95" s="180">
        <v>370667</v>
      </c>
      <c r="S95" s="180">
        <v>468727</v>
      </c>
      <c r="T95" s="178" t="s">
        <v>967</v>
      </c>
      <c r="U95" s="9">
        <f t="shared" si="21"/>
        <v>0</v>
      </c>
      <c r="V95" s="251">
        <f t="shared" si="22"/>
        <v>0</v>
      </c>
      <c r="W95" s="251">
        <f t="shared" si="23"/>
        <v>0</v>
      </c>
      <c r="X95" s="251">
        <f t="shared" si="24"/>
        <v>0</v>
      </c>
      <c r="Y95" s="251">
        <f t="shared" si="25"/>
        <v>0</v>
      </c>
    </row>
    <row r="96" spans="1:25" ht="26.25" customHeight="1">
      <c r="A96" s="179" t="s">
        <v>952</v>
      </c>
      <c r="B96" s="8">
        <v>52229895</v>
      </c>
      <c r="C96" s="8" t="s">
        <v>736</v>
      </c>
      <c r="D96" s="8" t="s">
        <v>737</v>
      </c>
      <c r="E96" s="8" t="s">
        <v>738</v>
      </c>
      <c r="F96" s="8"/>
      <c r="G96" s="8" t="s">
        <v>410</v>
      </c>
      <c r="H96" s="70">
        <v>45385</v>
      </c>
      <c r="I96" s="70"/>
      <c r="J96" s="237">
        <v>24</v>
      </c>
      <c r="K96" s="172">
        <v>2465868</v>
      </c>
      <c r="L96" s="171">
        <v>2557954.36</v>
      </c>
      <c r="M96" s="9">
        <f>+L96*10%</f>
        <v>255795.43599999999</v>
      </c>
      <c r="N96" s="9">
        <f>+M96*19%</f>
        <v>48601.132839999998</v>
      </c>
      <c r="O96" s="9">
        <f>+L96+M96+N96</f>
        <v>2862350.9288400002</v>
      </c>
      <c r="P96" s="9">
        <f>+ROUND(((O96/30)*J96),0)</f>
        <v>2289881</v>
      </c>
      <c r="Q96" s="178" t="s">
        <v>1055</v>
      </c>
      <c r="R96" s="207">
        <v>1300000</v>
      </c>
      <c r="S96" s="207">
        <v>1715378</v>
      </c>
      <c r="T96" s="216" t="s">
        <v>1016</v>
      </c>
      <c r="U96" s="9">
        <f>+ROUND(((L96/30)*J96),0)</f>
        <v>2046363</v>
      </c>
      <c r="V96" s="251">
        <f t="shared" si="22"/>
        <v>204636.30000000002</v>
      </c>
      <c r="W96" s="251">
        <f t="shared" si="23"/>
        <v>38880.897000000004</v>
      </c>
      <c r="X96" s="251">
        <f t="shared" si="24"/>
        <v>2289880</v>
      </c>
      <c r="Y96" s="251">
        <f t="shared" si="25"/>
        <v>-1</v>
      </c>
    </row>
    <row r="97" spans="1:25" ht="26.25" customHeight="1">
      <c r="A97" s="179" t="s">
        <v>952</v>
      </c>
      <c r="B97" s="8">
        <v>1019087772</v>
      </c>
      <c r="C97" s="8" t="s">
        <v>977</v>
      </c>
      <c r="D97" s="8" t="s">
        <v>181</v>
      </c>
      <c r="E97" s="8" t="s">
        <v>261</v>
      </c>
      <c r="F97" s="8" t="s">
        <v>11</v>
      </c>
      <c r="G97" s="224" t="s">
        <v>13</v>
      </c>
      <c r="H97" s="70">
        <v>45468</v>
      </c>
      <c r="I97" s="70"/>
      <c r="J97" s="237">
        <v>6</v>
      </c>
      <c r="K97" s="172">
        <v>2465868</v>
      </c>
      <c r="L97" s="171">
        <v>2557954.36</v>
      </c>
      <c r="M97" s="9">
        <f>+L97*10%</f>
        <v>255795.43599999999</v>
      </c>
      <c r="N97" s="9">
        <f>+M97*19%</f>
        <v>48601.132839999998</v>
      </c>
      <c r="O97" s="9">
        <f>+L97+M97+N97</f>
        <v>2862350.9288400002</v>
      </c>
      <c r="P97" s="9">
        <f>+ROUND(((O97/30)*J97),0)</f>
        <v>572470</v>
      </c>
      <c r="Q97" s="178" t="s">
        <v>978</v>
      </c>
      <c r="R97" s="209">
        <v>278000</v>
      </c>
      <c r="S97" s="207">
        <v>314027</v>
      </c>
      <c r="T97" s="216" t="s">
        <v>1015</v>
      </c>
      <c r="U97" s="9">
        <f>+ROUND(((L97/30)*J97),0)</f>
        <v>511591</v>
      </c>
      <c r="V97" s="251">
        <f t="shared" si="22"/>
        <v>51159.100000000006</v>
      </c>
      <c r="W97" s="251">
        <f t="shared" si="23"/>
        <v>9720.2290000000012</v>
      </c>
      <c r="X97" s="251">
        <f t="shared" si="24"/>
        <v>572470</v>
      </c>
      <c r="Y97" s="251">
        <f t="shared" si="25"/>
        <v>0</v>
      </c>
    </row>
    <row r="98" spans="1:25" ht="26.25" customHeight="1">
      <c r="A98" s="179" t="s">
        <v>952</v>
      </c>
      <c r="B98" s="8">
        <v>1016105801</v>
      </c>
      <c r="C98" s="8" t="s">
        <v>214</v>
      </c>
      <c r="D98" s="8" t="s">
        <v>220</v>
      </c>
      <c r="E98" s="8" t="s">
        <v>105</v>
      </c>
      <c r="F98" s="8" t="s">
        <v>106</v>
      </c>
      <c r="G98" s="224" t="s">
        <v>191</v>
      </c>
      <c r="H98" s="8" t="s">
        <v>14</v>
      </c>
      <c r="I98" s="70"/>
      <c r="J98" s="8">
        <v>30</v>
      </c>
      <c r="K98" s="172">
        <v>2465868</v>
      </c>
      <c r="L98" s="171">
        <v>2557954.36</v>
      </c>
      <c r="M98" s="9">
        <f t="shared" ref="M98:M130" si="30">+L98*10%</f>
        <v>255795.43599999999</v>
      </c>
      <c r="N98" s="9">
        <f t="shared" ref="N98:N130" si="31">+M98*19%</f>
        <v>48601.132839999998</v>
      </c>
      <c r="O98" s="9">
        <f t="shared" ref="O98:O130" si="32">+L98+M98+N98</f>
        <v>2862350.9288400002</v>
      </c>
      <c r="P98" s="9">
        <f t="shared" si="20"/>
        <v>2862351</v>
      </c>
      <c r="Q98" s="10"/>
      <c r="R98" s="206">
        <v>1300000</v>
      </c>
      <c r="S98" s="206">
        <v>1776294</v>
      </c>
      <c r="T98" s="216" t="s">
        <v>1013</v>
      </c>
      <c r="U98" s="9">
        <f t="shared" si="21"/>
        <v>2557954</v>
      </c>
      <c r="V98" s="251">
        <f t="shared" si="22"/>
        <v>255795.40000000002</v>
      </c>
      <c r="W98" s="251">
        <f t="shared" si="23"/>
        <v>48601.126000000004</v>
      </c>
      <c r="X98" s="251">
        <f t="shared" si="24"/>
        <v>2862351</v>
      </c>
      <c r="Y98" s="251">
        <f t="shared" si="25"/>
        <v>0</v>
      </c>
    </row>
    <row r="99" spans="1:25" ht="26.25" customHeight="1">
      <c r="A99" s="179" t="s">
        <v>952</v>
      </c>
      <c r="B99" s="8">
        <v>1030668192</v>
      </c>
      <c r="C99" s="8" t="s">
        <v>197</v>
      </c>
      <c r="D99" s="8" t="s">
        <v>198</v>
      </c>
      <c r="E99" s="8" t="s">
        <v>60</v>
      </c>
      <c r="F99" s="8" t="s">
        <v>110</v>
      </c>
      <c r="G99" s="224" t="s">
        <v>191</v>
      </c>
      <c r="H99" s="8" t="s">
        <v>14</v>
      </c>
      <c r="I99" s="70"/>
      <c r="J99" s="8">
        <v>30</v>
      </c>
      <c r="K99" s="172">
        <v>2465868</v>
      </c>
      <c r="L99" s="171">
        <v>2557954.36</v>
      </c>
      <c r="M99" s="9">
        <f t="shared" si="30"/>
        <v>255795.43599999999</v>
      </c>
      <c r="N99" s="9">
        <f t="shared" si="31"/>
        <v>48601.132839999998</v>
      </c>
      <c r="O99" s="9">
        <f t="shared" si="32"/>
        <v>2862350.9288400002</v>
      </c>
      <c r="P99" s="9">
        <f t="shared" si="20"/>
        <v>2862351</v>
      </c>
      <c r="Q99" s="10"/>
      <c r="R99" s="206">
        <v>1300000</v>
      </c>
      <c r="S99" s="206">
        <v>1776294</v>
      </c>
      <c r="T99" s="216" t="s">
        <v>1013</v>
      </c>
      <c r="U99" s="9">
        <f t="shared" si="21"/>
        <v>2557954</v>
      </c>
      <c r="V99" s="251">
        <f t="shared" si="22"/>
        <v>255795.40000000002</v>
      </c>
      <c r="W99" s="251">
        <f t="shared" si="23"/>
        <v>48601.126000000004</v>
      </c>
      <c r="X99" s="251">
        <f t="shared" si="24"/>
        <v>2862351</v>
      </c>
      <c r="Y99" s="251">
        <f t="shared" si="25"/>
        <v>0</v>
      </c>
    </row>
    <row r="100" spans="1:25" ht="26.25" customHeight="1">
      <c r="A100" s="179" t="s">
        <v>952</v>
      </c>
      <c r="B100" s="8">
        <v>1033740220</v>
      </c>
      <c r="C100" s="8" t="s">
        <v>212</v>
      </c>
      <c r="D100" s="8" t="s">
        <v>273</v>
      </c>
      <c r="E100" s="8" t="s">
        <v>261</v>
      </c>
      <c r="F100" s="8" t="s">
        <v>79</v>
      </c>
      <c r="G100" s="8" t="s">
        <v>13</v>
      </c>
      <c r="H100" s="70">
        <v>45395</v>
      </c>
      <c r="I100" s="70">
        <v>45417</v>
      </c>
      <c r="J100" s="185">
        <v>0</v>
      </c>
      <c r="K100" s="172">
        <v>2465868</v>
      </c>
      <c r="L100" s="171">
        <v>2557954.36</v>
      </c>
      <c r="M100" s="9">
        <f t="shared" si="30"/>
        <v>255795.43599999999</v>
      </c>
      <c r="N100" s="9">
        <f t="shared" si="31"/>
        <v>48601.132839999998</v>
      </c>
      <c r="O100" s="9">
        <f t="shared" si="32"/>
        <v>2862350.9288400002</v>
      </c>
      <c r="P100" s="9">
        <f t="shared" si="20"/>
        <v>0</v>
      </c>
      <c r="Q100" s="200" t="s">
        <v>975</v>
      </c>
      <c r="R100" s="180">
        <v>278000</v>
      </c>
      <c r="S100" s="180">
        <v>542255</v>
      </c>
      <c r="T100" s="178" t="s">
        <v>968</v>
      </c>
      <c r="U100" s="9">
        <f t="shared" si="21"/>
        <v>0</v>
      </c>
      <c r="V100" s="251">
        <f t="shared" si="22"/>
        <v>0</v>
      </c>
      <c r="W100" s="251">
        <f t="shared" si="23"/>
        <v>0</v>
      </c>
      <c r="X100" s="251">
        <f t="shared" si="24"/>
        <v>0</v>
      </c>
      <c r="Y100" s="251">
        <f t="shared" si="25"/>
        <v>0</v>
      </c>
    </row>
    <row r="101" spans="1:25" ht="26.25" customHeight="1">
      <c r="A101" s="179" t="s">
        <v>952</v>
      </c>
      <c r="B101" s="198">
        <v>1118854040</v>
      </c>
      <c r="C101" s="198" t="s">
        <v>357</v>
      </c>
      <c r="D101" s="198" t="s">
        <v>358</v>
      </c>
      <c r="E101" s="198" t="s">
        <v>359</v>
      </c>
      <c r="F101" s="198" t="s">
        <v>222</v>
      </c>
      <c r="G101" s="228" t="s">
        <v>191</v>
      </c>
      <c r="H101" s="198" t="s">
        <v>354</v>
      </c>
      <c r="I101" s="70"/>
      <c r="J101" s="8">
        <v>30</v>
      </c>
      <c r="K101" s="172">
        <v>2465868</v>
      </c>
      <c r="L101" s="171">
        <v>2557954.36</v>
      </c>
      <c r="M101" s="9">
        <f t="shared" si="30"/>
        <v>255795.43599999999</v>
      </c>
      <c r="N101" s="9">
        <f t="shared" si="31"/>
        <v>48601.132839999998</v>
      </c>
      <c r="O101" s="9">
        <f t="shared" si="32"/>
        <v>2862350.9288400002</v>
      </c>
      <c r="P101" s="9">
        <f t="shared" si="20"/>
        <v>2862351</v>
      </c>
      <c r="Q101" s="10"/>
      <c r="R101" s="206">
        <v>1300000</v>
      </c>
      <c r="S101" s="206">
        <v>1768172</v>
      </c>
      <c r="T101" s="216" t="s">
        <v>1016</v>
      </c>
      <c r="U101" s="9">
        <f t="shared" si="21"/>
        <v>2557954</v>
      </c>
      <c r="V101" s="251">
        <f t="shared" si="22"/>
        <v>255795.40000000002</v>
      </c>
      <c r="W101" s="251">
        <f t="shared" si="23"/>
        <v>48601.126000000004</v>
      </c>
      <c r="X101" s="251">
        <f t="shared" si="24"/>
        <v>2862351</v>
      </c>
      <c r="Y101" s="251">
        <f t="shared" si="25"/>
        <v>0</v>
      </c>
    </row>
    <row r="102" spans="1:25" ht="26.25" customHeight="1">
      <c r="A102" s="179" t="s">
        <v>952</v>
      </c>
      <c r="B102" s="198">
        <v>52443651</v>
      </c>
      <c r="C102" s="198" t="s">
        <v>266</v>
      </c>
      <c r="D102" s="198" t="s">
        <v>94</v>
      </c>
      <c r="E102" s="198" t="s">
        <v>53</v>
      </c>
      <c r="F102" s="198" t="s">
        <v>979</v>
      </c>
      <c r="G102" s="8" t="s">
        <v>410</v>
      </c>
      <c r="H102" s="202"/>
      <c r="I102" s="203"/>
      <c r="J102" s="237">
        <v>3</v>
      </c>
      <c r="K102" s="172">
        <v>2465868</v>
      </c>
      <c r="L102" s="171">
        <v>2557954.36</v>
      </c>
      <c r="M102" s="9">
        <f t="shared" si="30"/>
        <v>255795.43599999999</v>
      </c>
      <c r="N102" s="9">
        <f t="shared" si="31"/>
        <v>48601.132839999998</v>
      </c>
      <c r="O102" s="9">
        <f t="shared" si="32"/>
        <v>2862350.9288400002</v>
      </c>
      <c r="P102" s="9">
        <f t="shared" si="20"/>
        <v>286235</v>
      </c>
      <c r="Q102" s="10" t="s">
        <v>1056</v>
      </c>
      <c r="R102" s="213"/>
      <c r="S102" s="182"/>
      <c r="T102" s="10"/>
      <c r="U102" s="9">
        <f t="shared" si="21"/>
        <v>255795</v>
      </c>
      <c r="V102" s="251">
        <f t="shared" si="22"/>
        <v>25579.5</v>
      </c>
      <c r="W102" s="251">
        <f t="shared" si="23"/>
        <v>4860.1050000000005</v>
      </c>
      <c r="X102" s="251">
        <f t="shared" si="24"/>
        <v>286235</v>
      </c>
      <c r="Y102" s="251">
        <f t="shared" si="25"/>
        <v>0</v>
      </c>
    </row>
    <row r="103" spans="1:25" ht="26.25" customHeight="1">
      <c r="A103" s="179" t="s">
        <v>952</v>
      </c>
      <c r="B103" s="8">
        <v>1030668833</v>
      </c>
      <c r="C103" s="198" t="s">
        <v>980</v>
      </c>
      <c r="D103" s="8" t="s">
        <v>1002</v>
      </c>
      <c r="E103" s="8" t="s">
        <v>43</v>
      </c>
      <c r="F103" s="8" t="s">
        <v>981</v>
      </c>
      <c r="G103" s="224" t="s">
        <v>13</v>
      </c>
      <c r="H103" s="199">
        <v>45461</v>
      </c>
      <c r="I103" s="70"/>
      <c r="J103" s="237">
        <v>13</v>
      </c>
      <c r="K103" s="172">
        <v>2465868</v>
      </c>
      <c r="L103" s="171">
        <v>2557954.36</v>
      </c>
      <c r="M103" s="9">
        <f t="shared" si="30"/>
        <v>255795.43599999999</v>
      </c>
      <c r="N103" s="9">
        <f t="shared" si="31"/>
        <v>48601.132839999998</v>
      </c>
      <c r="O103" s="9">
        <f t="shared" si="32"/>
        <v>2862350.9288400002</v>
      </c>
      <c r="P103" s="9">
        <f t="shared" si="20"/>
        <v>1240352</v>
      </c>
      <c r="Q103" s="10" t="s">
        <v>1058</v>
      </c>
      <c r="R103" s="211">
        <v>602334</v>
      </c>
      <c r="S103" s="206">
        <v>680391</v>
      </c>
      <c r="T103" s="216" t="s">
        <v>1018</v>
      </c>
      <c r="U103" s="9">
        <f t="shared" si="21"/>
        <v>1108447</v>
      </c>
      <c r="V103" s="251">
        <f t="shared" si="22"/>
        <v>110844.70000000001</v>
      </c>
      <c r="W103" s="251">
        <f t="shared" si="23"/>
        <v>21060.493000000002</v>
      </c>
      <c r="X103" s="251">
        <f t="shared" si="24"/>
        <v>1240352</v>
      </c>
      <c r="Y103" s="251">
        <f t="shared" si="25"/>
        <v>0</v>
      </c>
    </row>
    <row r="104" spans="1:25" ht="26.25" customHeight="1">
      <c r="A104" s="179" t="s">
        <v>953</v>
      </c>
      <c r="B104" s="8">
        <v>10944616</v>
      </c>
      <c r="C104" s="8" t="s">
        <v>184</v>
      </c>
      <c r="D104" s="8" t="s">
        <v>274</v>
      </c>
      <c r="E104" s="8" t="s">
        <v>302</v>
      </c>
      <c r="F104" s="8" t="s">
        <v>323</v>
      </c>
      <c r="G104" s="224" t="s">
        <v>13</v>
      </c>
      <c r="H104" s="70">
        <v>45392</v>
      </c>
      <c r="I104" s="70"/>
      <c r="J104" s="8">
        <v>30</v>
      </c>
      <c r="K104" s="172">
        <v>2465868</v>
      </c>
      <c r="L104" s="171">
        <v>2557954.36</v>
      </c>
      <c r="M104" s="9">
        <f t="shared" si="30"/>
        <v>255795.43599999999</v>
      </c>
      <c r="N104" s="9">
        <f t="shared" si="31"/>
        <v>48601.132839999998</v>
      </c>
      <c r="O104" s="9">
        <f t="shared" si="32"/>
        <v>2862350.9288400002</v>
      </c>
      <c r="P104" s="9">
        <f t="shared" si="20"/>
        <v>2862351</v>
      </c>
      <c r="Q104" s="10"/>
      <c r="R104" s="205">
        <v>1390000</v>
      </c>
      <c r="S104" s="206">
        <v>1790000</v>
      </c>
      <c r="T104" s="216" t="s">
        <v>1015</v>
      </c>
      <c r="U104" s="9">
        <f t="shared" si="21"/>
        <v>2557954</v>
      </c>
      <c r="V104" s="251">
        <f t="shared" si="22"/>
        <v>255795.40000000002</v>
      </c>
      <c r="W104" s="251">
        <f t="shared" si="23"/>
        <v>48601.126000000004</v>
      </c>
      <c r="X104" s="251">
        <f t="shared" si="24"/>
        <v>2862351</v>
      </c>
      <c r="Y104" s="251">
        <f t="shared" si="25"/>
        <v>0</v>
      </c>
    </row>
    <row r="105" spans="1:25" ht="26.25" customHeight="1">
      <c r="A105" s="179" t="s">
        <v>953</v>
      </c>
      <c r="B105" s="8">
        <v>39802794</v>
      </c>
      <c r="C105" s="8" t="s">
        <v>348</v>
      </c>
      <c r="D105" s="8" t="s">
        <v>349</v>
      </c>
      <c r="E105" s="8" t="s">
        <v>350</v>
      </c>
      <c r="F105" s="8" t="s">
        <v>351</v>
      </c>
      <c r="G105" s="224" t="s">
        <v>191</v>
      </c>
      <c r="H105" s="8" t="s">
        <v>14</v>
      </c>
      <c r="I105" s="70"/>
      <c r="J105" s="8">
        <v>30</v>
      </c>
      <c r="K105" s="172">
        <v>2465868</v>
      </c>
      <c r="L105" s="171">
        <v>2557954.36</v>
      </c>
      <c r="M105" s="9">
        <f>+L105*10%</f>
        <v>255795.43599999999</v>
      </c>
      <c r="N105" s="9">
        <f>+M105*19%</f>
        <v>48601.132839999998</v>
      </c>
      <c r="O105" s="9">
        <f>+L105+M105+N105</f>
        <v>2862350.9288400002</v>
      </c>
      <c r="P105" s="9">
        <f>+ROUND(((O105/30)*J105),0)</f>
        <v>2862351</v>
      </c>
      <c r="Q105" s="10" t="s">
        <v>983</v>
      </c>
      <c r="R105" s="206">
        <v>1300000</v>
      </c>
      <c r="S105" s="206">
        <v>1776294</v>
      </c>
      <c r="T105" s="216" t="s">
        <v>1013</v>
      </c>
      <c r="U105" s="9">
        <f>+ROUND(((L105/30)*J105),0)</f>
        <v>2557954</v>
      </c>
      <c r="V105" s="251">
        <f t="shared" si="22"/>
        <v>255795.40000000002</v>
      </c>
      <c r="W105" s="251">
        <f t="shared" si="23"/>
        <v>48601.126000000004</v>
      </c>
      <c r="X105" s="251">
        <f t="shared" si="24"/>
        <v>2862351</v>
      </c>
      <c r="Y105" s="251">
        <f t="shared" si="25"/>
        <v>0</v>
      </c>
    </row>
    <row r="106" spans="1:25" ht="26.25" customHeight="1">
      <c r="A106" s="179" t="s">
        <v>953</v>
      </c>
      <c r="B106" s="8">
        <v>51983032</v>
      </c>
      <c r="C106" s="8" t="s">
        <v>266</v>
      </c>
      <c r="D106" s="8" t="s">
        <v>56</v>
      </c>
      <c r="E106" s="8" t="s">
        <v>105</v>
      </c>
      <c r="F106" s="8" t="s">
        <v>47</v>
      </c>
      <c r="G106" s="224" t="s">
        <v>191</v>
      </c>
      <c r="H106" s="8" t="s">
        <v>14</v>
      </c>
      <c r="I106" s="70"/>
      <c r="J106" s="8">
        <v>30</v>
      </c>
      <c r="K106" s="172">
        <v>2465868</v>
      </c>
      <c r="L106" s="171">
        <v>2557954.36</v>
      </c>
      <c r="M106" s="9">
        <f t="shared" si="30"/>
        <v>255795.43599999999</v>
      </c>
      <c r="N106" s="9">
        <f t="shared" si="31"/>
        <v>48601.132839999998</v>
      </c>
      <c r="O106" s="9">
        <f t="shared" si="32"/>
        <v>2862350.9288400002</v>
      </c>
      <c r="P106" s="9">
        <f t="shared" si="20"/>
        <v>2862351</v>
      </c>
      <c r="Q106" s="10"/>
      <c r="R106" s="206">
        <v>1300000</v>
      </c>
      <c r="S106" s="206">
        <v>1776294</v>
      </c>
      <c r="T106" s="216" t="s">
        <v>1013</v>
      </c>
      <c r="U106" s="9">
        <f t="shared" si="21"/>
        <v>2557954</v>
      </c>
      <c r="V106" s="251">
        <f t="shared" si="22"/>
        <v>255795.40000000002</v>
      </c>
      <c r="W106" s="251">
        <f t="shared" si="23"/>
        <v>48601.126000000004</v>
      </c>
      <c r="X106" s="251">
        <f t="shared" si="24"/>
        <v>2862351</v>
      </c>
      <c r="Y106" s="251">
        <f t="shared" si="25"/>
        <v>0</v>
      </c>
    </row>
    <row r="107" spans="1:25" ht="26.25" customHeight="1">
      <c r="A107" s="179" t="s">
        <v>953</v>
      </c>
      <c r="B107" s="8">
        <v>52422971</v>
      </c>
      <c r="C107" s="8" t="s">
        <v>171</v>
      </c>
      <c r="D107" s="8" t="s">
        <v>144</v>
      </c>
      <c r="E107" s="8" t="s">
        <v>235</v>
      </c>
      <c r="F107" s="8"/>
      <c r="G107" s="224" t="s">
        <v>191</v>
      </c>
      <c r="H107" s="8" t="s">
        <v>14</v>
      </c>
      <c r="I107" s="70"/>
      <c r="J107" s="237">
        <v>29</v>
      </c>
      <c r="K107" s="172">
        <v>2465868</v>
      </c>
      <c r="L107" s="171">
        <v>2557954.36</v>
      </c>
      <c r="M107" s="9">
        <f t="shared" si="30"/>
        <v>255795.43599999999</v>
      </c>
      <c r="N107" s="9">
        <f t="shared" si="31"/>
        <v>48601.132839999998</v>
      </c>
      <c r="O107" s="9">
        <f t="shared" si="32"/>
        <v>2862350.9288400002</v>
      </c>
      <c r="P107" s="9">
        <f t="shared" si="20"/>
        <v>2766939</v>
      </c>
      <c r="Q107" s="10" t="s">
        <v>1059</v>
      </c>
      <c r="R107" s="211">
        <f>1256667+43334</f>
        <v>1300001</v>
      </c>
      <c r="S107" s="206">
        <v>1726966</v>
      </c>
      <c r="T107" s="216" t="s">
        <v>1013</v>
      </c>
      <c r="U107" s="9">
        <f t="shared" si="21"/>
        <v>2472689</v>
      </c>
      <c r="V107" s="251">
        <f t="shared" si="22"/>
        <v>247268.90000000002</v>
      </c>
      <c r="W107" s="251">
        <f t="shared" si="23"/>
        <v>46981.091000000008</v>
      </c>
      <c r="X107" s="251">
        <f t="shared" si="24"/>
        <v>2766939</v>
      </c>
      <c r="Y107" s="251">
        <f t="shared" si="25"/>
        <v>0</v>
      </c>
    </row>
    <row r="108" spans="1:25" ht="26.25" customHeight="1">
      <c r="A108" s="179" t="s">
        <v>953</v>
      </c>
      <c r="B108" s="8">
        <v>52635791</v>
      </c>
      <c r="C108" s="8" t="s">
        <v>214</v>
      </c>
      <c r="D108" s="8" t="s">
        <v>215</v>
      </c>
      <c r="E108" s="8" t="s">
        <v>216</v>
      </c>
      <c r="F108" s="8"/>
      <c r="G108" s="224" t="s">
        <v>191</v>
      </c>
      <c r="H108" s="8" t="s">
        <v>14</v>
      </c>
      <c r="I108" s="70"/>
      <c r="J108" s="8">
        <v>30</v>
      </c>
      <c r="K108" s="172">
        <v>2465868</v>
      </c>
      <c r="L108" s="171">
        <v>2557954.36</v>
      </c>
      <c r="M108" s="9">
        <f t="shared" si="30"/>
        <v>255795.43599999999</v>
      </c>
      <c r="N108" s="9">
        <f t="shared" si="31"/>
        <v>48601.132839999998</v>
      </c>
      <c r="O108" s="9">
        <f t="shared" si="32"/>
        <v>2862350.9288400002</v>
      </c>
      <c r="P108" s="9">
        <f t="shared" si="20"/>
        <v>2862351</v>
      </c>
      <c r="Q108" s="10"/>
      <c r="R108" s="206">
        <v>1300000</v>
      </c>
      <c r="S108" s="206">
        <v>1776294</v>
      </c>
      <c r="T108" s="216" t="s">
        <v>1013</v>
      </c>
      <c r="U108" s="9">
        <f t="shared" si="21"/>
        <v>2557954</v>
      </c>
      <c r="V108" s="251">
        <f t="shared" si="22"/>
        <v>255795.40000000002</v>
      </c>
      <c r="W108" s="251">
        <f t="shared" si="23"/>
        <v>48601.126000000004</v>
      </c>
      <c r="X108" s="251">
        <f t="shared" si="24"/>
        <v>2862351</v>
      </c>
      <c r="Y108" s="251">
        <f t="shared" si="25"/>
        <v>0</v>
      </c>
    </row>
    <row r="109" spans="1:25" ht="26.25" customHeight="1">
      <c r="A109" s="179" t="s">
        <v>953</v>
      </c>
      <c r="B109" s="8">
        <v>69802250</v>
      </c>
      <c r="C109" s="8" t="s">
        <v>166</v>
      </c>
      <c r="D109" s="8" t="s">
        <v>115</v>
      </c>
      <c r="E109" s="8" t="s">
        <v>71</v>
      </c>
      <c r="F109" s="8" t="s">
        <v>211</v>
      </c>
      <c r="G109" s="224" t="s">
        <v>191</v>
      </c>
      <c r="H109" s="8" t="s">
        <v>14</v>
      </c>
      <c r="I109" s="70"/>
      <c r="J109" s="8">
        <v>30</v>
      </c>
      <c r="K109" s="172">
        <v>2465868</v>
      </c>
      <c r="L109" s="171">
        <v>2557954.36</v>
      </c>
      <c r="M109" s="9">
        <f t="shared" si="30"/>
        <v>255795.43599999999</v>
      </c>
      <c r="N109" s="9">
        <f t="shared" si="31"/>
        <v>48601.132839999998</v>
      </c>
      <c r="O109" s="9">
        <f t="shared" si="32"/>
        <v>2862350.9288400002</v>
      </c>
      <c r="P109" s="9">
        <f t="shared" si="20"/>
        <v>2862351</v>
      </c>
      <c r="Q109" s="10"/>
      <c r="R109" s="206">
        <v>1300000</v>
      </c>
      <c r="S109" s="206">
        <v>1776294</v>
      </c>
      <c r="T109" s="216" t="s">
        <v>1013</v>
      </c>
      <c r="U109" s="9">
        <f t="shared" si="21"/>
        <v>2557954</v>
      </c>
      <c r="V109" s="251">
        <f t="shared" si="22"/>
        <v>255795.40000000002</v>
      </c>
      <c r="W109" s="251">
        <f t="shared" si="23"/>
        <v>48601.126000000004</v>
      </c>
      <c r="X109" s="251">
        <f t="shared" si="24"/>
        <v>2862351</v>
      </c>
      <c r="Y109" s="251">
        <f t="shared" si="25"/>
        <v>0</v>
      </c>
    </row>
    <row r="110" spans="1:25" ht="26.25" customHeight="1">
      <c r="A110" s="179" t="s">
        <v>953</v>
      </c>
      <c r="B110" s="8">
        <v>79772101</v>
      </c>
      <c r="C110" s="8" t="s">
        <v>742</v>
      </c>
      <c r="D110" s="8" t="s">
        <v>743</v>
      </c>
      <c r="E110" s="8" t="s">
        <v>153</v>
      </c>
      <c r="F110" s="8" t="s">
        <v>744</v>
      </c>
      <c r="G110" s="224" t="s">
        <v>13</v>
      </c>
      <c r="H110" s="70">
        <v>45434</v>
      </c>
      <c r="I110" s="70"/>
      <c r="J110" s="237">
        <v>0</v>
      </c>
      <c r="K110" s="172">
        <v>2465868</v>
      </c>
      <c r="L110" s="171">
        <v>2557954.36</v>
      </c>
      <c r="M110" s="9">
        <f t="shared" si="30"/>
        <v>255795.43599999999</v>
      </c>
      <c r="N110" s="9">
        <f t="shared" si="31"/>
        <v>48601.132839999998</v>
      </c>
      <c r="O110" s="9">
        <f t="shared" si="32"/>
        <v>2862350.9288400002</v>
      </c>
      <c r="P110" s="9">
        <f>+ROUND(((O110/30)*J110),0)</f>
        <v>0</v>
      </c>
      <c r="Q110" s="10" t="s">
        <v>1060</v>
      </c>
      <c r="R110" s="205">
        <v>1390000</v>
      </c>
      <c r="S110" s="206">
        <v>1608933</v>
      </c>
      <c r="T110" s="216" t="s">
        <v>1013</v>
      </c>
      <c r="U110" s="9">
        <f t="shared" si="21"/>
        <v>0</v>
      </c>
      <c r="V110" s="251">
        <f t="shared" si="22"/>
        <v>0</v>
      </c>
      <c r="W110" s="251">
        <f t="shared" si="23"/>
        <v>0</v>
      </c>
      <c r="X110" s="251">
        <f t="shared" si="24"/>
        <v>0</v>
      </c>
      <c r="Y110" s="251">
        <f t="shared" si="25"/>
        <v>0</v>
      </c>
    </row>
    <row r="111" spans="1:25" ht="26.25" customHeight="1">
      <c r="A111" s="179" t="s">
        <v>953</v>
      </c>
      <c r="B111" s="8">
        <v>94401092</v>
      </c>
      <c r="C111" s="8" t="s">
        <v>984</v>
      </c>
      <c r="D111" s="8"/>
      <c r="E111" s="8" t="s">
        <v>985</v>
      </c>
      <c r="F111" s="8"/>
      <c r="G111" s="8" t="s">
        <v>13</v>
      </c>
      <c r="H111" s="70">
        <v>45444</v>
      </c>
      <c r="I111" s="70"/>
      <c r="J111" s="8">
        <v>30</v>
      </c>
      <c r="K111" s="172">
        <v>2465868</v>
      </c>
      <c r="L111" s="171">
        <v>2557954.36</v>
      </c>
      <c r="M111" s="9">
        <f t="shared" si="30"/>
        <v>255795.43599999999</v>
      </c>
      <c r="N111" s="9">
        <f t="shared" si="31"/>
        <v>48601.132839999998</v>
      </c>
      <c r="O111" s="9">
        <f t="shared" si="32"/>
        <v>2862350.9288400002</v>
      </c>
      <c r="P111" s="9">
        <f>+ROUND(((O111/30)*J111),0)</f>
        <v>2862351</v>
      </c>
      <c r="Q111" s="10" t="s">
        <v>982</v>
      </c>
      <c r="R111" s="205">
        <v>1390000</v>
      </c>
      <c r="S111" s="206">
        <v>1570133</v>
      </c>
      <c r="T111" s="216" t="s">
        <v>1016</v>
      </c>
      <c r="U111" s="9">
        <f t="shared" si="21"/>
        <v>2557954</v>
      </c>
      <c r="V111" s="251">
        <f t="shared" si="22"/>
        <v>255795.40000000002</v>
      </c>
      <c r="W111" s="251">
        <f t="shared" si="23"/>
        <v>48601.126000000004</v>
      </c>
      <c r="X111" s="251">
        <f t="shared" si="24"/>
        <v>2862351</v>
      </c>
      <c r="Y111" s="251">
        <f t="shared" si="25"/>
        <v>0</v>
      </c>
    </row>
    <row r="112" spans="1:25" ht="26.25" customHeight="1">
      <c r="A112" s="179" t="s">
        <v>953</v>
      </c>
      <c r="B112" s="8">
        <v>1021395108</v>
      </c>
      <c r="C112" s="8" t="s">
        <v>171</v>
      </c>
      <c r="D112" s="8" t="s">
        <v>220</v>
      </c>
      <c r="E112" s="8" t="s">
        <v>236</v>
      </c>
      <c r="F112" s="8" t="s">
        <v>237</v>
      </c>
      <c r="G112" s="224" t="s">
        <v>191</v>
      </c>
      <c r="H112" s="8" t="s">
        <v>14</v>
      </c>
      <c r="I112" s="70"/>
      <c r="J112" s="237">
        <v>22</v>
      </c>
      <c r="K112" s="172">
        <v>2465868</v>
      </c>
      <c r="L112" s="171">
        <v>2557954.36</v>
      </c>
      <c r="M112" s="9">
        <f t="shared" si="30"/>
        <v>255795.43599999999</v>
      </c>
      <c r="N112" s="9">
        <f t="shared" si="31"/>
        <v>48601.132839999998</v>
      </c>
      <c r="O112" s="9">
        <f t="shared" si="32"/>
        <v>2862350.9288400002</v>
      </c>
      <c r="P112" s="9">
        <f t="shared" si="20"/>
        <v>2099057</v>
      </c>
      <c r="Q112" s="177" t="s">
        <v>1061</v>
      </c>
      <c r="R112" s="206">
        <v>1300000</v>
      </c>
      <c r="S112" s="206">
        <v>1776294</v>
      </c>
      <c r="T112" s="216" t="s">
        <v>1013</v>
      </c>
      <c r="U112" s="9">
        <f t="shared" si="21"/>
        <v>1875833</v>
      </c>
      <c r="V112" s="251">
        <f t="shared" si="22"/>
        <v>187583.30000000002</v>
      </c>
      <c r="W112" s="251">
        <f t="shared" si="23"/>
        <v>35640.827000000005</v>
      </c>
      <c r="X112" s="251">
        <f t="shared" si="24"/>
        <v>2099057</v>
      </c>
      <c r="Y112" s="251">
        <f t="shared" si="25"/>
        <v>0</v>
      </c>
    </row>
    <row r="113" spans="1:25" ht="26.25" customHeight="1">
      <c r="A113" s="179" t="s">
        <v>953</v>
      </c>
      <c r="B113" s="8">
        <v>52465439</v>
      </c>
      <c r="C113" s="8" t="s">
        <v>199</v>
      </c>
      <c r="D113" s="8" t="s">
        <v>127</v>
      </c>
      <c r="E113" s="8" t="s">
        <v>128</v>
      </c>
      <c r="F113" s="8"/>
      <c r="G113" s="224" t="s">
        <v>191</v>
      </c>
      <c r="H113" s="8" t="s">
        <v>14</v>
      </c>
      <c r="I113" s="70"/>
      <c r="J113" s="8">
        <v>7</v>
      </c>
      <c r="K113" s="172">
        <v>2465868</v>
      </c>
      <c r="L113" s="171">
        <v>2557954.36</v>
      </c>
      <c r="M113" s="9">
        <f t="shared" si="30"/>
        <v>255795.43599999999</v>
      </c>
      <c r="N113" s="9">
        <f t="shared" si="31"/>
        <v>48601.132839999998</v>
      </c>
      <c r="O113" s="9">
        <f t="shared" si="32"/>
        <v>2862350.9288400002</v>
      </c>
      <c r="P113" s="9">
        <f t="shared" si="20"/>
        <v>667882</v>
      </c>
      <c r="Q113" s="178" t="s">
        <v>989</v>
      </c>
      <c r="R113" s="209">
        <f>1213334+86667</f>
        <v>1300001</v>
      </c>
      <c r="S113" s="207">
        <v>1763244</v>
      </c>
      <c r="T113" s="216" t="s">
        <v>1013</v>
      </c>
      <c r="U113" s="9">
        <f t="shared" si="21"/>
        <v>596856</v>
      </c>
      <c r="V113" s="251">
        <f t="shared" si="22"/>
        <v>59685.600000000006</v>
      </c>
      <c r="W113" s="251">
        <f t="shared" si="23"/>
        <v>11340.264000000001</v>
      </c>
      <c r="X113" s="251">
        <f t="shared" si="24"/>
        <v>667882</v>
      </c>
      <c r="Y113" s="251">
        <f t="shared" si="25"/>
        <v>0</v>
      </c>
    </row>
    <row r="114" spans="1:25" ht="26.25" customHeight="1">
      <c r="A114" s="179" t="s">
        <v>954</v>
      </c>
      <c r="B114" s="8">
        <v>28057943</v>
      </c>
      <c r="C114" s="8" t="s">
        <v>138</v>
      </c>
      <c r="D114" s="8" t="s">
        <v>139</v>
      </c>
      <c r="E114" s="8" t="s">
        <v>140</v>
      </c>
      <c r="F114" s="8"/>
      <c r="G114" s="224" t="s">
        <v>191</v>
      </c>
      <c r="H114" s="8" t="s">
        <v>14</v>
      </c>
      <c r="I114" s="70"/>
      <c r="J114" s="8">
        <v>30</v>
      </c>
      <c r="K114" s="172">
        <v>2465868</v>
      </c>
      <c r="L114" s="171">
        <v>2557954.36</v>
      </c>
      <c r="M114" s="9">
        <f t="shared" si="30"/>
        <v>255795.43599999999</v>
      </c>
      <c r="N114" s="9">
        <f t="shared" si="31"/>
        <v>48601.132839999998</v>
      </c>
      <c r="O114" s="9">
        <f t="shared" si="32"/>
        <v>2862350.9288400002</v>
      </c>
      <c r="P114" s="9">
        <f t="shared" si="20"/>
        <v>2862351</v>
      </c>
      <c r="Q114" s="10"/>
      <c r="R114" s="206">
        <v>1300000</v>
      </c>
      <c r="S114" s="206">
        <v>1776294</v>
      </c>
      <c r="T114" s="216" t="s">
        <v>1013</v>
      </c>
      <c r="U114" s="9">
        <f t="shared" si="21"/>
        <v>2557954</v>
      </c>
      <c r="V114" s="251">
        <f t="shared" si="22"/>
        <v>255795.40000000002</v>
      </c>
      <c r="W114" s="251">
        <f t="shared" si="23"/>
        <v>48601.126000000004</v>
      </c>
      <c r="X114" s="251">
        <f t="shared" si="24"/>
        <v>2862351</v>
      </c>
      <c r="Y114" s="251">
        <f t="shared" si="25"/>
        <v>0</v>
      </c>
    </row>
    <row r="115" spans="1:25" ht="26.25" customHeight="1">
      <c r="A115" s="179" t="s">
        <v>954</v>
      </c>
      <c r="B115" s="8">
        <v>52064422</v>
      </c>
      <c r="C115" s="8" t="s">
        <v>162</v>
      </c>
      <c r="D115" s="8" t="s">
        <v>147</v>
      </c>
      <c r="E115" s="8" t="s">
        <v>159</v>
      </c>
      <c r="F115" s="8" t="s">
        <v>146</v>
      </c>
      <c r="G115" s="224" t="s">
        <v>191</v>
      </c>
      <c r="H115" s="8" t="s">
        <v>14</v>
      </c>
      <c r="I115" s="70"/>
      <c r="J115" s="8">
        <v>30</v>
      </c>
      <c r="K115" s="172">
        <v>2465868</v>
      </c>
      <c r="L115" s="171">
        <v>2557954.36</v>
      </c>
      <c r="M115" s="9">
        <f t="shared" si="30"/>
        <v>255795.43599999999</v>
      </c>
      <c r="N115" s="9">
        <f t="shared" si="31"/>
        <v>48601.132839999998</v>
      </c>
      <c r="O115" s="9">
        <f t="shared" si="32"/>
        <v>2862350.9288400002</v>
      </c>
      <c r="P115" s="9">
        <f t="shared" si="20"/>
        <v>2862351</v>
      </c>
      <c r="Q115" s="178"/>
      <c r="R115" s="207">
        <f>130000+1170000</f>
        <v>1300000</v>
      </c>
      <c r="S115" s="207">
        <v>1764111</v>
      </c>
      <c r="T115" s="216" t="s">
        <v>1013</v>
      </c>
      <c r="U115" s="9">
        <f t="shared" si="21"/>
        <v>2557954</v>
      </c>
      <c r="V115" s="251">
        <f t="shared" si="22"/>
        <v>255795.40000000002</v>
      </c>
      <c r="W115" s="251">
        <f t="shared" si="23"/>
        <v>48601.126000000004</v>
      </c>
      <c r="X115" s="251">
        <f t="shared" si="24"/>
        <v>2862351</v>
      </c>
      <c r="Y115" s="251">
        <f t="shared" si="25"/>
        <v>0</v>
      </c>
    </row>
    <row r="116" spans="1:25" ht="26.25" customHeight="1">
      <c r="A116" s="179" t="s">
        <v>954</v>
      </c>
      <c r="B116" s="8">
        <v>79509824</v>
      </c>
      <c r="C116" s="8" t="s">
        <v>273</v>
      </c>
      <c r="D116" s="8" t="s">
        <v>431</v>
      </c>
      <c r="E116" s="8" t="s">
        <v>432</v>
      </c>
      <c r="F116" s="8"/>
      <c r="G116" s="224" t="s">
        <v>13</v>
      </c>
      <c r="H116" s="8" t="s">
        <v>430</v>
      </c>
      <c r="I116" s="70"/>
      <c r="J116" s="8">
        <v>30</v>
      </c>
      <c r="K116" s="172">
        <v>2465868</v>
      </c>
      <c r="L116" s="171">
        <v>2557954.36</v>
      </c>
      <c r="M116" s="9">
        <f t="shared" si="30"/>
        <v>255795.43599999999</v>
      </c>
      <c r="N116" s="9">
        <f t="shared" si="31"/>
        <v>48601.132839999998</v>
      </c>
      <c r="O116" s="9">
        <f t="shared" si="32"/>
        <v>2862350.9288400002</v>
      </c>
      <c r="P116" s="9">
        <f t="shared" si="20"/>
        <v>2862351</v>
      </c>
      <c r="Q116" s="10"/>
      <c r="R116" s="205">
        <v>1390000</v>
      </c>
      <c r="S116" s="206">
        <v>1764133</v>
      </c>
      <c r="T116" s="216" t="s">
        <v>1015</v>
      </c>
      <c r="U116" s="9">
        <f t="shared" si="21"/>
        <v>2557954</v>
      </c>
      <c r="V116" s="251">
        <f t="shared" si="22"/>
        <v>255795.40000000002</v>
      </c>
      <c r="W116" s="251">
        <f t="shared" si="23"/>
        <v>48601.126000000004</v>
      </c>
      <c r="X116" s="251">
        <f t="shared" si="24"/>
        <v>2862351</v>
      </c>
      <c r="Y116" s="251">
        <f t="shared" si="25"/>
        <v>0</v>
      </c>
    </row>
    <row r="117" spans="1:25" ht="26.25" customHeight="1">
      <c r="A117" s="179" t="s">
        <v>954</v>
      </c>
      <c r="B117" s="8">
        <v>1022344041</v>
      </c>
      <c r="C117" s="8" t="s">
        <v>58</v>
      </c>
      <c r="D117" s="8" t="s">
        <v>59</v>
      </c>
      <c r="E117" s="8" t="s">
        <v>60</v>
      </c>
      <c r="F117" s="8" t="s">
        <v>54</v>
      </c>
      <c r="G117" s="224" t="s">
        <v>191</v>
      </c>
      <c r="H117" s="8" t="s">
        <v>14</v>
      </c>
      <c r="I117" s="70"/>
      <c r="J117" s="8">
        <v>30</v>
      </c>
      <c r="K117" s="172">
        <v>2465868</v>
      </c>
      <c r="L117" s="171">
        <v>2557954.36</v>
      </c>
      <c r="M117" s="9">
        <f t="shared" si="30"/>
        <v>255795.43599999999</v>
      </c>
      <c r="N117" s="9">
        <f t="shared" si="31"/>
        <v>48601.132839999998</v>
      </c>
      <c r="O117" s="9">
        <f t="shared" si="32"/>
        <v>2862350.9288400002</v>
      </c>
      <c r="P117" s="9">
        <f t="shared" si="20"/>
        <v>2862351</v>
      </c>
      <c r="Q117" s="10"/>
      <c r="R117" s="206">
        <v>1300000</v>
      </c>
      <c r="S117" s="206">
        <v>1776294</v>
      </c>
      <c r="T117" s="216" t="s">
        <v>1013</v>
      </c>
      <c r="U117" s="9">
        <f t="shared" si="21"/>
        <v>2557954</v>
      </c>
      <c r="V117" s="251">
        <f t="shared" si="22"/>
        <v>255795.40000000002</v>
      </c>
      <c r="W117" s="251">
        <f t="shared" si="23"/>
        <v>48601.126000000004</v>
      </c>
      <c r="X117" s="251">
        <f t="shared" si="24"/>
        <v>2862351</v>
      </c>
      <c r="Y117" s="251">
        <f t="shared" si="25"/>
        <v>0</v>
      </c>
    </row>
    <row r="118" spans="1:25">
      <c r="A118" s="179" t="s">
        <v>954</v>
      </c>
      <c r="B118" s="8">
        <v>1023031155</v>
      </c>
      <c r="C118" s="8" t="s">
        <v>90</v>
      </c>
      <c r="D118" s="8" t="s">
        <v>94</v>
      </c>
      <c r="E118" s="8" t="s">
        <v>95</v>
      </c>
      <c r="F118" s="8" t="s">
        <v>57</v>
      </c>
      <c r="G118" s="224" t="s">
        <v>191</v>
      </c>
      <c r="H118" s="8" t="s">
        <v>14</v>
      </c>
      <c r="I118" s="70"/>
      <c r="J118" s="8">
        <v>30</v>
      </c>
      <c r="K118" s="172">
        <v>2465868</v>
      </c>
      <c r="L118" s="171">
        <v>2557954.36</v>
      </c>
      <c r="M118" s="9">
        <f t="shared" si="30"/>
        <v>255795.43599999999</v>
      </c>
      <c r="N118" s="9">
        <f t="shared" si="31"/>
        <v>48601.132839999998</v>
      </c>
      <c r="O118" s="9">
        <f t="shared" si="32"/>
        <v>2862350.9288400002</v>
      </c>
      <c r="P118" s="9">
        <f t="shared" si="20"/>
        <v>2862351</v>
      </c>
      <c r="Q118" s="10"/>
      <c r="R118" s="206">
        <v>1300000</v>
      </c>
      <c r="S118" s="206">
        <v>1776294</v>
      </c>
      <c r="T118" s="216" t="s">
        <v>1013</v>
      </c>
      <c r="U118" s="9">
        <f t="shared" si="21"/>
        <v>2557954</v>
      </c>
      <c r="V118" s="251">
        <f t="shared" si="22"/>
        <v>255795.40000000002</v>
      </c>
      <c r="W118" s="251">
        <f t="shared" si="23"/>
        <v>48601.126000000004</v>
      </c>
      <c r="X118" s="251">
        <f t="shared" si="24"/>
        <v>2862351</v>
      </c>
      <c r="Y118" s="251">
        <f t="shared" si="25"/>
        <v>0</v>
      </c>
    </row>
    <row r="119" spans="1:25">
      <c r="A119" s="179" t="s">
        <v>955</v>
      </c>
      <c r="B119" s="8">
        <v>52122597</v>
      </c>
      <c r="C119" s="8" t="s">
        <v>38</v>
      </c>
      <c r="D119" s="8" t="s">
        <v>39</v>
      </c>
      <c r="E119" s="8" t="s">
        <v>40</v>
      </c>
      <c r="F119" s="8"/>
      <c r="G119" s="224" t="s">
        <v>191</v>
      </c>
      <c r="H119" s="8" t="s">
        <v>14</v>
      </c>
      <c r="I119" s="70"/>
      <c r="J119" s="8">
        <v>30</v>
      </c>
      <c r="K119" s="172">
        <v>2465868</v>
      </c>
      <c r="L119" s="171">
        <v>2557954.36</v>
      </c>
      <c r="M119" s="9">
        <f>+L119*10%</f>
        <v>255795.43599999999</v>
      </c>
      <c r="N119" s="9">
        <f>+M119*19%</f>
        <v>48601.132839999998</v>
      </c>
      <c r="O119" s="9">
        <f>+L119+M119+N119</f>
        <v>2862350.9288400002</v>
      </c>
      <c r="P119" s="9">
        <f>+ROUND(((O119/30)*J119),0)</f>
        <v>2862351</v>
      </c>
      <c r="Q119" s="10" t="s">
        <v>986</v>
      </c>
      <c r="R119" s="206">
        <v>1300000</v>
      </c>
      <c r="S119" s="206">
        <v>1776294</v>
      </c>
      <c r="T119" s="216" t="s">
        <v>1013</v>
      </c>
      <c r="U119" s="9">
        <f>+ROUND(((L119/30)*J119),0)</f>
        <v>2557954</v>
      </c>
      <c r="V119" s="251">
        <f t="shared" si="22"/>
        <v>255795.40000000002</v>
      </c>
      <c r="W119" s="251">
        <f t="shared" si="23"/>
        <v>48601.126000000004</v>
      </c>
      <c r="X119" s="251">
        <f t="shared" si="24"/>
        <v>2862351</v>
      </c>
      <c r="Y119" s="251">
        <f t="shared" si="25"/>
        <v>0</v>
      </c>
    </row>
    <row r="120" spans="1:25" ht="26.25" customHeight="1">
      <c r="A120" s="179" t="s">
        <v>955</v>
      </c>
      <c r="B120" s="8">
        <v>51921922</v>
      </c>
      <c r="C120" s="8" t="s">
        <v>147</v>
      </c>
      <c r="D120" s="8" t="s">
        <v>144</v>
      </c>
      <c r="E120" s="8" t="s">
        <v>288</v>
      </c>
      <c r="F120" s="8" t="s">
        <v>47</v>
      </c>
      <c r="G120" s="224" t="s">
        <v>191</v>
      </c>
      <c r="H120" s="70">
        <v>45404</v>
      </c>
      <c r="I120" s="70"/>
      <c r="J120" s="8">
        <v>30</v>
      </c>
      <c r="K120" s="172">
        <v>2465868</v>
      </c>
      <c r="L120" s="171">
        <v>2557954.36</v>
      </c>
      <c r="M120" s="9">
        <f t="shared" si="30"/>
        <v>255795.43599999999</v>
      </c>
      <c r="N120" s="9">
        <f t="shared" si="31"/>
        <v>48601.132839999998</v>
      </c>
      <c r="O120" s="9">
        <f t="shared" si="32"/>
        <v>2862350.9288400002</v>
      </c>
      <c r="P120" s="9">
        <f t="shared" si="20"/>
        <v>2862351</v>
      </c>
      <c r="Q120" s="10"/>
      <c r="R120" s="206">
        <v>1300000</v>
      </c>
      <c r="S120" s="206">
        <v>1638217</v>
      </c>
      <c r="T120" s="217" t="s">
        <v>1013</v>
      </c>
      <c r="U120" s="9">
        <f t="shared" si="21"/>
        <v>2557954</v>
      </c>
      <c r="V120" s="251">
        <f t="shared" si="22"/>
        <v>255795.40000000002</v>
      </c>
      <c r="W120" s="251">
        <f t="shared" si="23"/>
        <v>48601.126000000004</v>
      </c>
      <c r="X120" s="251">
        <f t="shared" si="24"/>
        <v>2862351</v>
      </c>
      <c r="Y120" s="251">
        <f t="shared" si="25"/>
        <v>0</v>
      </c>
    </row>
    <row r="121" spans="1:25" ht="26.25" customHeight="1">
      <c r="A121" s="179" t="s">
        <v>955</v>
      </c>
      <c r="B121" s="8">
        <v>52112939</v>
      </c>
      <c r="C121" s="8" t="s">
        <v>125</v>
      </c>
      <c r="D121" s="8" t="s">
        <v>126</v>
      </c>
      <c r="E121" s="8" t="s">
        <v>127</v>
      </c>
      <c r="F121" s="8" t="s">
        <v>128</v>
      </c>
      <c r="G121" s="224" t="s">
        <v>191</v>
      </c>
      <c r="H121" s="8" t="s">
        <v>14</v>
      </c>
      <c r="I121" s="70"/>
      <c r="J121" s="8">
        <v>30</v>
      </c>
      <c r="K121" s="172">
        <v>2465868</v>
      </c>
      <c r="L121" s="171">
        <v>2557954.36</v>
      </c>
      <c r="M121" s="9">
        <f t="shared" si="30"/>
        <v>255795.43599999999</v>
      </c>
      <c r="N121" s="9">
        <f t="shared" si="31"/>
        <v>48601.132839999998</v>
      </c>
      <c r="O121" s="9">
        <f t="shared" si="32"/>
        <v>2862350.9288400002</v>
      </c>
      <c r="P121" s="9">
        <f t="shared" si="20"/>
        <v>2862351</v>
      </c>
      <c r="Q121" s="178"/>
      <c r="R121" s="205">
        <v>1300000</v>
      </c>
      <c r="S121" s="207">
        <v>1776294</v>
      </c>
      <c r="T121" s="216" t="s">
        <v>1010</v>
      </c>
      <c r="U121" s="9">
        <f t="shared" si="21"/>
        <v>2557954</v>
      </c>
      <c r="V121" s="251">
        <f t="shared" si="22"/>
        <v>255795.40000000002</v>
      </c>
      <c r="W121" s="251">
        <f t="shared" si="23"/>
        <v>48601.126000000004</v>
      </c>
      <c r="X121" s="251">
        <f t="shared" si="24"/>
        <v>2862351</v>
      </c>
      <c r="Y121" s="251">
        <f t="shared" si="25"/>
        <v>0</v>
      </c>
    </row>
    <row r="122" spans="1:25" ht="26.25" customHeight="1">
      <c r="A122" s="179" t="s">
        <v>955</v>
      </c>
      <c r="B122" s="8">
        <v>52164356</v>
      </c>
      <c r="C122" s="8" t="s">
        <v>118</v>
      </c>
      <c r="D122" s="8" t="s">
        <v>119</v>
      </c>
      <c r="E122" s="8" t="s">
        <v>71</v>
      </c>
      <c r="F122" s="8" t="s">
        <v>120</v>
      </c>
      <c r="G122" s="224" t="s">
        <v>191</v>
      </c>
      <c r="H122" s="8" t="s">
        <v>14</v>
      </c>
      <c r="I122" s="70"/>
      <c r="J122" s="8">
        <v>30</v>
      </c>
      <c r="K122" s="172">
        <v>2465868</v>
      </c>
      <c r="L122" s="171">
        <v>2557954.36</v>
      </c>
      <c r="M122" s="9">
        <f t="shared" si="30"/>
        <v>255795.43599999999</v>
      </c>
      <c r="N122" s="9">
        <f t="shared" si="31"/>
        <v>48601.132839999998</v>
      </c>
      <c r="O122" s="9">
        <f t="shared" si="32"/>
        <v>2862350.9288400002</v>
      </c>
      <c r="P122" s="9">
        <f t="shared" si="20"/>
        <v>2862351</v>
      </c>
      <c r="Q122" s="10"/>
      <c r="R122" s="206">
        <v>1300000</v>
      </c>
      <c r="S122" s="206">
        <v>1776294</v>
      </c>
      <c r="T122" s="216" t="s">
        <v>1013</v>
      </c>
      <c r="U122" s="9">
        <f t="shared" si="21"/>
        <v>2557954</v>
      </c>
      <c r="V122" s="251">
        <f t="shared" si="22"/>
        <v>255795.40000000002</v>
      </c>
      <c r="W122" s="251">
        <f t="shared" si="23"/>
        <v>48601.126000000004</v>
      </c>
      <c r="X122" s="251">
        <f t="shared" si="24"/>
        <v>2862351</v>
      </c>
      <c r="Y122" s="251">
        <f t="shared" si="25"/>
        <v>0</v>
      </c>
    </row>
    <row r="123" spans="1:25" ht="26.25" customHeight="1">
      <c r="A123" s="179" t="s">
        <v>955</v>
      </c>
      <c r="B123" s="8">
        <v>80369946</v>
      </c>
      <c r="C123" s="8" t="s">
        <v>46</v>
      </c>
      <c r="D123" s="8" t="s">
        <v>114</v>
      </c>
      <c r="E123" s="8" t="s">
        <v>209</v>
      </c>
      <c r="F123" s="8" t="s">
        <v>99</v>
      </c>
      <c r="G123" s="224" t="s">
        <v>13</v>
      </c>
      <c r="H123" s="8" t="s">
        <v>14</v>
      </c>
      <c r="I123" s="70"/>
      <c r="J123" s="8">
        <v>30</v>
      </c>
      <c r="K123" s="172">
        <v>2465868</v>
      </c>
      <c r="L123" s="171">
        <v>2557954.36</v>
      </c>
      <c r="M123" s="9">
        <f t="shared" si="30"/>
        <v>255795.43599999999</v>
      </c>
      <c r="N123" s="9">
        <f t="shared" si="31"/>
        <v>48601.132839999998</v>
      </c>
      <c r="O123" s="9">
        <f t="shared" si="32"/>
        <v>2862350.9288400002</v>
      </c>
      <c r="P123" s="9">
        <f t="shared" si="20"/>
        <v>2862351</v>
      </c>
      <c r="Q123" s="10"/>
      <c r="R123" s="205">
        <v>1390000</v>
      </c>
      <c r="S123" s="206">
        <v>1884844</v>
      </c>
      <c r="T123" s="216" t="s">
        <v>1013</v>
      </c>
      <c r="U123" s="9">
        <f t="shared" si="21"/>
        <v>2557954</v>
      </c>
      <c r="V123" s="251">
        <f t="shared" si="22"/>
        <v>255795.40000000002</v>
      </c>
      <c r="W123" s="251">
        <f t="shared" si="23"/>
        <v>48601.126000000004</v>
      </c>
      <c r="X123" s="251">
        <f t="shared" si="24"/>
        <v>2862351</v>
      </c>
      <c r="Y123" s="251">
        <f t="shared" si="25"/>
        <v>0</v>
      </c>
    </row>
    <row r="124" spans="1:25" ht="26.25" customHeight="1">
      <c r="A124" s="179" t="s">
        <v>955</v>
      </c>
      <c r="B124" s="8">
        <v>1013618485</v>
      </c>
      <c r="C124" s="8" t="s">
        <v>181</v>
      </c>
      <c r="D124" s="8" t="s">
        <v>360</v>
      </c>
      <c r="E124" s="8" t="s">
        <v>222</v>
      </c>
      <c r="F124" s="8" t="s">
        <v>223</v>
      </c>
      <c r="G124" s="224" t="s">
        <v>191</v>
      </c>
      <c r="H124" s="8" t="s">
        <v>354</v>
      </c>
      <c r="I124" s="70"/>
      <c r="J124" s="8">
        <v>30</v>
      </c>
      <c r="K124" s="172">
        <v>2465868</v>
      </c>
      <c r="L124" s="171">
        <v>2557954.36</v>
      </c>
      <c r="M124" s="9">
        <f t="shared" si="30"/>
        <v>255795.43599999999</v>
      </c>
      <c r="N124" s="9">
        <f t="shared" si="31"/>
        <v>48601.132839999998</v>
      </c>
      <c r="O124" s="9">
        <f t="shared" si="32"/>
        <v>2862350.9288400002</v>
      </c>
      <c r="P124" s="9">
        <f t="shared" si="20"/>
        <v>2862351</v>
      </c>
      <c r="Q124" s="178"/>
      <c r="R124" s="206">
        <v>1300000</v>
      </c>
      <c r="S124" s="207">
        <v>1760050</v>
      </c>
      <c r="T124" s="216" t="s">
        <v>1018</v>
      </c>
      <c r="U124" s="9">
        <f t="shared" si="21"/>
        <v>2557954</v>
      </c>
      <c r="V124" s="251">
        <f t="shared" si="22"/>
        <v>255795.40000000002</v>
      </c>
      <c r="W124" s="251">
        <f t="shared" si="23"/>
        <v>48601.126000000004</v>
      </c>
      <c r="X124" s="251">
        <f t="shared" si="24"/>
        <v>2862351</v>
      </c>
      <c r="Y124" s="251">
        <f t="shared" si="25"/>
        <v>0</v>
      </c>
    </row>
    <row r="125" spans="1:25" ht="26.25" customHeight="1">
      <c r="A125" s="179" t="s">
        <v>955</v>
      </c>
      <c r="B125" s="8">
        <v>1024477306</v>
      </c>
      <c r="C125" s="8" t="s">
        <v>132</v>
      </c>
      <c r="D125" s="8" t="s">
        <v>73</v>
      </c>
      <c r="E125" s="8" t="s">
        <v>60</v>
      </c>
      <c r="F125" s="8" t="s">
        <v>47</v>
      </c>
      <c r="G125" s="224" t="s">
        <v>191</v>
      </c>
      <c r="H125" s="8" t="s">
        <v>14</v>
      </c>
      <c r="I125" s="70"/>
      <c r="J125" s="8">
        <v>30</v>
      </c>
      <c r="K125" s="172">
        <v>2465868</v>
      </c>
      <c r="L125" s="171">
        <v>2557954.36</v>
      </c>
      <c r="M125" s="9">
        <f t="shared" si="30"/>
        <v>255795.43599999999</v>
      </c>
      <c r="N125" s="9">
        <f t="shared" si="31"/>
        <v>48601.132839999998</v>
      </c>
      <c r="O125" s="9">
        <f t="shared" si="32"/>
        <v>2862350.9288400002</v>
      </c>
      <c r="P125" s="9">
        <f t="shared" si="20"/>
        <v>2862351</v>
      </c>
      <c r="Q125" s="10"/>
      <c r="R125" s="206">
        <v>1300000</v>
      </c>
      <c r="S125" s="206">
        <v>1776294</v>
      </c>
      <c r="T125" s="216" t="s">
        <v>1013</v>
      </c>
      <c r="U125" s="9">
        <f t="shared" si="21"/>
        <v>2557954</v>
      </c>
      <c r="V125" s="251">
        <f t="shared" si="22"/>
        <v>255795.40000000002</v>
      </c>
      <c r="W125" s="251">
        <f t="shared" si="23"/>
        <v>48601.126000000004</v>
      </c>
      <c r="X125" s="251">
        <f t="shared" si="24"/>
        <v>2862351</v>
      </c>
      <c r="Y125" s="251">
        <f t="shared" si="25"/>
        <v>0</v>
      </c>
    </row>
    <row r="126" spans="1:25" ht="26.25" customHeight="1">
      <c r="A126" s="179" t="s">
        <v>955</v>
      </c>
      <c r="B126" s="8">
        <v>1090390268</v>
      </c>
      <c r="C126" s="8" t="s">
        <v>373</v>
      </c>
      <c r="D126" s="8" t="s">
        <v>373</v>
      </c>
      <c r="E126" s="8" t="s">
        <v>78</v>
      </c>
      <c r="F126" s="8" t="s">
        <v>739</v>
      </c>
      <c r="G126" s="224" t="s">
        <v>13</v>
      </c>
      <c r="H126" s="70">
        <v>45395</v>
      </c>
      <c r="I126" s="70"/>
      <c r="J126" s="8">
        <v>30</v>
      </c>
      <c r="K126" s="172">
        <v>2465868</v>
      </c>
      <c r="L126" s="171">
        <v>2557954.36</v>
      </c>
      <c r="M126" s="9">
        <f t="shared" si="30"/>
        <v>255795.43599999999</v>
      </c>
      <c r="N126" s="9">
        <f t="shared" si="31"/>
        <v>48601.132839999998</v>
      </c>
      <c r="O126" s="9">
        <f t="shared" si="32"/>
        <v>2862350.9288400002</v>
      </c>
      <c r="P126" s="9">
        <f t="shared" si="20"/>
        <v>2862351</v>
      </c>
      <c r="Q126" s="10"/>
      <c r="R126" s="205">
        <v>1390000</v>
      </c>
      <c r="S126" s="206">
        <v>1777067</v>
      </c>
      <c r="T126" s="216" t="s">
        <v>1014</v>
      </c>
      <c r="U126" s="9">
        <f t="shared" si="21"/>
        <v>2557954</v>
      </c>
      <c r="V126" s="251">
        <f t="shared" si="22"/>
        <v>255795.40000000002</v>
      </c>
      <c r="W126" s="251">
        <f t="shared" si="23"/>
        <v>48601.126000000004</v>
      </c>
      <c r="X126" s="251">
        <f t="shared" si="24"/>
        <v>2862351</v>
      </c>
      <c r="Y126" s="251">
        <f t="shared" si="25"/>
        <v>0</v>
      </c>
    </row>
    <row r="127" spans="1:25" ht="26.25" customHeight="1">
      <c r="A127" s="179" t="s">
        <v>662</v>
      </c>
      <c r="B127" s="8">
        <v>30225706</v>
      </c>
      <c r="C127" s="8" t="s">
        <v>386</v>
      </c>
      <c r="D127" s="8" t="s">
        <v>263</v>
      </c>
      <c r="E127" s="8" t="s">
        <v>127</v>
      </c>
      <c r="F127" s="8" t="s">
        <v>128</v>
      </c>
      <c r="G127" s="224" t="s">
        <v>191</v>
      </c>
      <c r="H127" s="8" t="s">
        <v>14</v>
      </c>
      <c r="I127" s="70"/>
      <c r="J127" s="8">
        <v>30</v>
      </c>
      <c r="K127" s="172">
        <v>2465868</v>
      </c>
      <c r="L127" s="171">
        <v>2557954.36</v>
      </c>
      <c r="M127" s="9">
        <f t="shared" si="30"/>
        <v>255795.43599999999</v>
      </c>
      <c r="N127" s="9">
        <f t="shared" si="31"/>
        <v>48601.132839999998</v>
      </c>
      <c r="O127" s="9">
        <f t="shared" si="32"/>
        <v>2862350.9288400002</v>
      </c>
      <c r="P127" s="9">
        <f t="shared" si="20"/>
        <v>2862351</v>
      </c>
      <c r="Q127" s="10"/>
      <c r="R127" s="206">
        <v>1300000</v>
      </c>
      <c r="S127" s="206">
        <v>1776294</v>
      </c>
      <c r="T127" s="216" t="s">
        <v>1019</v>
      </c>
      <c r="U127" s="9">
        <f t="shared" si="21"/>
        <v>2557954</v>
      </c>
      <c r="V127" s="251">
        <f t="shared" si="22"/>
        <v>255795.40000000002</v>
      </c>
      <c r="W127" s="251">
        <f t="shared" si="23"/>
        <v>48601.126000000004</v>
      </c>
      <c r="X127" s="251">
        <f t="shared" si="24"/>
        <v>2862351</v>
      </c>
      <c r="Y127" s="251">
        <f t="shared" si="25"/>
        <v>0</v>
      </c>
    </row>
    <row r="128" spans="1:25" ht="26.25" customHeight="1">
      <c r="A128" s="179" t="s">
        <v>662</v>
      </c>
      <c r="B128" s="8">
        <v>39582655</v>
      </c>
      <c r="C128" s="8" t="s">
        <v>330</v>
      </c>
      <c r="D128" s="8" t="s">
        <v>331</v>
      </c>
      <c r="E128" s="8" t="s">
        <v>60</v>
      </c>
      <c r="F128" s="8" t="s">
        <v>146</v>
      </c>
      <c r="G128" s="224" t="s">
        <v>191</v>
      </c>
      <c r="H128" s="8" t="s">
        <v>14</v>
      </c>
      <c r="I128" s="70"/>
      <c r="J128" s="8">
        <v>30</v>
      </c>
      <c r="K128" s="172">
        <v>2465868</v>
      </c>
      <c r="L128" s="171">
        <v>2557954.36</v>
      </c>
      <c r="M128" s="9">
        <f t="shared" si="30"/>
        <v>255795.43599999999</v>
      </c>
      <c r="N128" s="9">
        <f t="shared" si="31"/>
        <v>48601.132839999998</v>
      </c>
      <c r="O128" s="9">
        <f t="shared" si="32"/>
        <v>2862350.9288400002</v>
      </c>
      <c r="P128" s="9">
        <f t="shared" ref="P128:P192" si="33">+ROUND(((O128/30)*J128),0)</f>
        <v>2862351</v>
      </c>
      <c r="Q128" s="10"/>
      <c r="R128" s="206">
        <v>1300000</v>
      </c>
      <c r="S128" s="206">
        <v>1776294</v>
      </c>
      <c r="T128" s="216" t="s">
        <v>1013</v>
      </c>
      <c r="U128" s="9">
        <f t="shared" si="21"/>
        <v>2557954</v>
      </c>
      <c r="V128" s="251">
        <f t="shared" si="22"/>
        <v>255795.40000000002</v>
      </c>
      <c r="W128" s="251">
        <f t="shared" si="23"/>
        <v>48601.126000000004</v>
      </c>
      <c r="X128" s="251">
        <f t="shared" si="24"/>
        <v>2862351</v>
      </c>
      <c r="Y128" s="251">
        <f t="shared" si="25"/>
        <v>0</v>
      </c>
    </row>
    <row r="129" spans="1:25" ht="26.25" customHeight="1">
      <c r="A129" s="179" t="s">
        <v>662</v>
      </c>
      <c r="B129" s="8">
        <v>52554338</v>
      </c>
      <c r="C129" s="8" t="s">
        <v>154</v>
      </c>
      <c r="D129" s="8" t="s">
        <v>155</v>
      </c>
      <c r="E129" s="8" t="s">
        <v>156</v>
      </c>
      <c r="F129" s="8" t="s">
        <v>128</v>
      </c>
      <c r="G129" s="224" t="s">
        <v>45</v>
      </c>
      <c r="H129" s="8" t="s">
        <v>14</v>
      </c>
      <c r="I129" s="70"/>
      <c r="J129" s="8">
        <v>30</v>
      </c>
      <c r="K129" s="172">
        <v>2465868</v>
      </c>
      <c r="L129" s="171">
        <v>2557954.36</v>
      </c>
      <c r="M129" s="9">
        <f t="shared" si="30"/>
        <v>255795.43599999999</v>
      </c>
      <c r="N129" s="9">
        <f t="shared" si="31"/>
        <v>48601.132839999998</v>
      </c>
      <c r="O129" s="9">
        <f t="shared" si="32"/>
        <v>2862350.9288400002</v>
      </c>
      <c r="P129" s="9">
        <f t="shared" si="33"/>
        <v>2862351</v>
      </c>
      <c r="Q129" s="10"/>
      <c r="R129" s="207">
        <v>1401000</v>
      </c>
      <c r="S129" s="206">
        <v>2128112</v>
      </c>
      <c r="T129" s="216" t="s">
        <v>1017</v>
      </c>
      <c r="U129" s="9">
        <f t="shared" ref="U129:U193" si="34">+ROUND(((L129/30)*J129),0)</f>
        <v>2557954</v>
      </c>
      <c r="V129" s="251">
        <f t="shared" si="22"/>
        <v>255795.40000000002</v>
      </c>
      <c r="W129" s="251">
        <f t="shared" si="23"/>
        <v>48601.126000000004</v>
      </c>
      <c r="X129" s="251">
        <f t="shared" si="24"/>
        <v>2862351</v>
      </c>
      <c r="Y129" s="251">
        <f t="shared" si="25"/>
        <v>0</v>
      </c>
    </row>
    <row r="130" spans="1:25" ht="26.25" customHeight="1">
      <c r="A130" s="179" t="s">
        <v>662</v>
      </c>
      <c r="B130" s="8">
        <v>52937650</v>
      </c>
      <c r="C130" s="8" t="s">
        <v>296</v>
      </c>
      <c r="D130" s="8" t="s">
        <v>296</v>
      </c>
      <c r="E130" s="8" t="s">
        <v>299</v>
      </c>
      <c r="F130" s="8" t="s">
        <v>300</v>
      </c>
      <c r="G130" s="224" t="s">
        <v>191</v>
      </c>
      <c r="H130" s="8" t="s">
        <v>14</v>
      </c>
      <c r="I130" s="70"/>
      <c r="J130" s="237">
        <v>28</v>
      </c>
      <c r="K130" s="172">
        <v>2465868</v>
      </c>
      <c r="L130" s="171">
        <v>2557954.36</v>
      </c>
      <c r="M130" s="9">
        <f t="shared" si="30"/>
        <v>255795.43599999999</v>
      </c>
      <c r="N130" s="9">
        <f t="shared" si="31"/>
        <v>48601.132839999998</v>
      </c>
      <c r="O130" s="9">
        <f t="shared" si="32"/>
        <v>2862350.9288400002</v>
      </c>
      <c r="P130" s="9">
        <f t="shared" si="33"/>
        <v>2671528</v>
      </c>
      <c r="Q130" s="200" t="s">
        <v>1062</v>
      </c>
      <c r="R130" s="211">
        <f>1213334+86667</f>
        <v>1300001</v>
      </c>
      <c r="S130" s="206">
        <v>1676739</v>
      </c>
      <c r="T130" s="216" t="s">
        <v>1013</v>
      </c>
      <c r="U130" s="9">
        <f t="shared" si="34"/>
        <v>2387424</v>
      </c>
      <c r="V130" s="251">
        <f t="shared" si="22"/>
        <v>238742.40000000002</v>
      </c>
      <c r="W130" s="251">
        <f t="shared" si="23"/>
        <v>45361.056000000004</v>
      </c>
      <c r="X130" s="251">
        <f t="shared" si="24"/>
        <v>2671527</v>
      </c>
      <c r="Y130" s="251">
        <f t="shared" si="25"/>
        <v>-1</v>
      </c>
    </row>
    <row r="131" spans="1:25" ht="26.25" customHeight="1">
      <c r="A131" s="179" t="s">
        <v>662</v>
      </c>
      <c r="B131" s="8">
        <v>79597465</v>
      </c>
      <c r="C131" s="8" t="s">
        <v>242</v>
      </c>
      <c r="D131" s="8" t="s">
        <v>243</v>
      </c>
      <c r="E131" s="8" t="s">
        <v>164</v>
      </c>
      <c r="F131" s="8" t="s">
        <v>244</v>
      </c>
      <c r="G131" s="224" t="s">
        <v>13</v>
      </c>
      <c r="H131" s="8" t="s">
        <v>14</v>
      </c>
      <c r="I131" s="70"/>
      <c r="J131" s="8">
        <v>30</v>
      </c>
      <c r="K131" s="172">
        <v>2465868</v>
      </c>
      <c r="L131" s="171">
        <v>2557954.36</v>
      </c>
      <c r="M131" s="9">
        <f t="shared" ref="M131:M165" si="35">+L131*10%</f>
        <v>255795.43599999999</v>
      </c>
      <c r="N131" s="9">
        <f t="shared" ref="N131:N165" si="36">+M131*19%</f>
        <v>48601.132839999998</v>
      </c>
      <c r="O131" s="9">
        <f t="shared" ref="O131:O165" si="37">+L131+M131+N131</f>
        <v>2862350.9288400002</v>
      </c>
      <c r="P131" s="9">
        <f t="shared" si="33"/>
        <v>2862351</v>
      </c>
      <c r="Q131" s="10"/>
      <c r="R131" s="205">
        <v>1390000</v>
      </c>
      <c r="S131" s="206">
        <v>1884844</v>
      </c>
      <c r="T131" s="216" t="s">
        <v>1013</v>
      </c>
      <c r="U131" s="9">
        <f t="shared" si="34"/>
        <v>2557954</v>
      </c>
      <c r="V131" s="251">
        <f t="shared" ref="V131:V194" si="38">+U131*10%</f>
        <v>255795.40000000002</v>
      </c>
      <c r="W131" s="251">
        <f t="shared" ref="W131:W194" si="39">+V131*19%</f>
        <v>48601.126000000004</v>
      </c>
      <c r="X131" s="251">
        <f t="shared" ref="X131:X194" si="40">+ROUND((U131+V131+W131),0)</f>
        <v>2862351</v>
      </c>
      <c r="Y131" s="251">
        <f t="shared" ref="Y131:Y194" si="41">+X131-P131</f>
        <v>0</v>
      </c>
    </row>
    <row r="132" spans="1:25" ht="26.25" customHeight="1">
      <c r="A132" s="179" t="s">
        <v>662</v>
      </c>
      <c r="B132" s="8">
        <v>1002269813</v>
      </c>
      <c r="C132" s="8" t="s">
        <v>15</v>
      </c>
      <c r="D132" s="8" t="s">
        <v>22</v>
      </c>
      <c r="E132" s="8" t="s">
        <v>23</v>
      </c>
      <c r="F132" s="8" t="s">
        <v>24</v>
      </c>
      <c r="G132" s="224" t="s">
        <v>191</v>
      </c>
      <c r="H132" s="8" t="s">
        <v>14</v>
      </c>
      <c r="I132" s="70"/>
      <c r="J132" s="8">
        <v>30</v>
      </c>
      <c r="K132" s="172">
        <v>2465868</v>
      </c>
      <c r="L132" s="171">
        <v>2557954.36</v>
      </c>
      <c r="M132" s="9">
        <f t="shared" si="35"/>
        <v>255795.43599999999</v>
      </c>
      <c r="N132" s="9">
        <f t="shared" si="36"/>
        <v>48601.132839999998</v>
      </c>
      <c r="O132" s="9">
        <f t="shared" si="37"/>
        <v>2862350.9288400002</v>
      </c>
      <c r="P132" s="9">
        <f t="shared" si="33"/>
        <v>2862351</v>
      </c>
      <c r="Q132" s="10"/>
      <c r="R132" s="206">
        <v>1300000</v>
      </c>
      <c r="S132" s="206">
        <v>1776294</v>
      </c>
      <c r="T132" s="216" t="s">
        <v>1013</v>
      </c>
      <c r="U132" s="9">
        <f t="shared" si="34"/>
        <v>2557954</v>
      </c>
      <c r="V132" s="251">
        <f t="shared" si="38"/>
        <v>255795.40000000002</v>
      </c>
      <c r="W132" s="251">
        <f t="shared" si="39"/>
        <v>48601.126000000004</v>
      </c>
      <c r="X132" s="251">
        <f t="shared" si="40"/>
        <v>2862351</v>
      </c>
      <c r="Y132" s="251">
        <f t="shared" si="41"/>
        <v>0</v>
      </c>
    </row>
    <row r="133" spans="1:25" ht="26.25" customHeight="1">
      <c r="A133" s="179" t="s">
        <v>662</v>
      </c>
      <c r="B133" s="8">
        <v>1022985784</v>
      </c>
      <c r="C133" s="8" t="s">
        <v>245</v>
      </c>
      <c r="D133" s="8" t="s">
        <v>115</v>
      </c>
      <c r="E133" s="8" t="s">
        <v>246</v>
      </c>
      <c r="F133" s="8" t="s">
        <v>247</v>
      </c>
      <c r="G133" s="224" t="s">
        <v>13</v>
      </c>
      <c r="H133" s="8" t="s">
        <v>14</v>
      </c>
      <c r="I133" s="70"/>
      <c r="J133" s="8">
        <v>30</v>
      </c>
      <c r="K133" s="172">
        <v>2465868</v>
      </c>
      <c r="L133" s="171">
        <v>2557954.36</v>
      </c>
      <c r="M133" s="9">
        <f t="shared" si="35"/>
        <v>255795.43599999999</v>
      </c>
      <c r="N133" s="9">
        <f t="shared" si="36"/>
        <v>48601.132839999998</v>
      </c>
      <c r="O133" s="9">
        <f t="shared" si="37"/>
        <v>2862350.9288400002</v>
      </c>
      <c r="P133" s="9">
        <f t="shared" si="33"/>
        <v>2862351</v>
      </c>
      <c r="Q133" s="10"/>
      <c r="R133" s="205">
        <v>1390000</v>
      </c>
      <c r="S133" s="206">
        <v>1884844</v>
      </c>
      <c r="T133" s="216" t="s">
        <v>1013</v>
      </c>
      <c r="U133" s="9">
        <f t="shared" si="34"/>
        <v>2557954</v>
      </c>
      <c r="V133" s="251">
        <f t="shared" si="38"/>
        <v>255795.40000000002</v>
      </c>
      <c r="W133" s="251">
        <f t="shared" si="39"/>
        <v>48601.126000000004</v>
      </c>
      <c r="X133" s="251">
        <f t="shared" si="40"/>
        <v>2862351</v>
      </c>
      <c r="Y133" s="251">
        <f t="shared" si="41"/>
        <v>0</v>
      </c>
    </row>
    <row r="134" spans="1:25" ht="26.25" customHeight="1">
      <c r="A134" s="179" t="s">
        <v>662</v>
      </c>
      <c r="B134" s="8">
        <v>1024500166</v>
      </c>
      <c r="C134" s="8" t="s">
        <v>388</v>
      </c>
      <c r="D134" s="8" t="s">
        <v>52</v>
      </c>
      <c r="E134" s="8" t="s">
        <v>47</v>
      </c>
      <c r="F134" s="8" t="s">
        <v>389</v>
      </c>
      <c r="G134" s="224" t="s">
        <v>191</v>
      </c>
      <c r="H134" s="8" t="s">
        <v>14</v>
      </c>
      <c r="I134" s="70"/>
      <c r="J134" s="8">
        <v>30</v>
      </c>
      <c r="K134" s="172">
        <v>2465868</v>
      </c>
      <c r="L134" s="171">
        <v>2557954.36</v>
      </c>
      <c r="M134" s="9">
        <f t="shared" si="35"/>
        <v>255795.43599999999</v>
      </c>
      <c r="N134" s="9">
        <f t="shared" si="36"/>
        <v>48601.132839999998</v>
      </c>
      <c r="O134" s="9">
        <f t="shared" si="37"/>
        <v>2862350.9288400002</v>
      </c>
      <c r="P134" s="9">
        <f t="shared" si="33"/>
        <v>2862351</v>
      </c>
      <c r="Q134" s="10"/>
      <c r="R134" s="206">
        <v>1300000</v>
      </c>
      <c r="S134" s="206">
        <v>1776294</v>
      </c>
      <c r="T134" s="217" t="s">
        <v>1013</v>
      </c>
      <c r="U134" s="9">
        <f t="shared" si="34"/>
        <v>2557954</v>
      </c>
      <c r="V134" s="251">
        <f t="shared" si="38"/>
        <v>255795.40000000002</v>
      </c>
      <c r="W134" s="251">
        <f t="shared" si="39"/>
        <v>48601.126000000004</v>
      </c>
      <c r="X134" s="251">
        <f t="shared" si="40"/>
        <v>2862351</v>
      </c>
      <c r="Y134" s="251">
        <f t="shared" si="41"/>
        <v>0</v>
      </c>
    </row>
    <row r="135" spans="1:25" ht="26.25" customHeight="1">
      <c r="A135" s="179" t="s">
        <v>662</v>
      </c>
      <c r="B135" s="8">
        <v>1024549825</v>
      </c>
      <c r="C135" s="8" t="s">
        <v>266</v>
      </c>
      <c r="D135" s="8" t="s">
        <v>65</v>
      </c>
      <c r="E135" s="8" t="s">
        <v>112</v>
      </c>
      <c r="F135" s="8" t="s">
        <v>322</v>
      </c>
      <c r="G135" s="224" t="s">
        <v>191</v>
      </c>
      <c r="H135" s="8" t="s">
        <v>354</v>
      </c>
      <c r="I135" s="70"/>
      <c r="J135" s="8">
        <v>30</v>
      </c>
      <c r="K135" s="172">
        <v>2465868</v>
      </c>
      <c r="L135" s="171">
        <v>2557954.36</v>
      </c>
      <c r="M135" s="9">
        <f t="shared" si="35"/>
        <v>255795.43599999999</v>
      </c>
      <c r="N135" s="9">
        <f t="shared" si="36"/>
        <v>48601.132839999998</v>
      </c>
      <c r="O135" s="9">
        <f t="shared" si="37"/>
        <v>2862350.9288400002</v>
      </c>
      <c r="P135" s="9">
        <f t="shared" si="33"/>
        <v>2862351</v>
      </c>
      <c r="Q135" s="178"/>
      <c r="R135" s="206">
        <v>1300001</v>
      </c>
      <c r="S135" s="207">
        <v>1807140</v>
      </c>
      <c r="T135" s="216" t="s">
        <v>1013</v>
      </c>
      <c r="U135" s="9">
        <f t="shared" si="34"/>
        <v>2557954</v>
      </c>
      <c r="V135" s="251">
        <f t="shared" si="38"/>
        <v>255795.40000000002</v>
      </c>
      <c r="W135" s="251">
        <f t="shared" si="39"/>
        <v>48601.126000000004</v>
      </c>
      <c r="X135" s="251">
        <f t="shared" si="40"/>
        <v>2862351</v>
      </c>
      <c r="Y135" s="251">
        <f t="shared" si="41"/>
        <v>0</v>
      </c>
    </row>
    <row r="136" spans="1:25" ht="26.25" customHeight="1">
      <c r="A136" s="179" t="s">
        <v>662</v>
      </c>
      <c r="B136" s="8">
        <v>1026256911</v>
      </c>
      <c r="C136" s="8" t="s">
        <v>157</v>
      </c>
      <c r="D136" s="8" t="s">
        <v>158</v>
      </c>
      <c r="E136" s="8" t="s">
        <v>159</v>
      </c>
      <c r="F136" s="8" t="s">
        <v>160</v>
      </c>
      <c r="G136" s="224" t="s">
        <v>191</v>
      </c>
      <c r="H136" s="8" t="s">
        <v>14</v>
      </c>
      <c r="I136" s="70"/>
      <c r="J136" s="8">
        <v>30</v>
      </c>
      <c r="K136" s="172">
        <v>2465868</v>
      </c>
      <c r="L136" s="171">
        <v>2557954.36</v>
      </c>
      <c r="M136" s="9">
        <f t="shared" si="35"/>
        <v>255795.43599999999</v>
      </c>
      <c r="N136" s="9">
        <f t="shared" si="36"/>
        <v>48601.132839999998</v>
      </c>
      <c r="O136" s="9">
        <f t="shared" si="37"/>
        <v>2862350.9288400002</v>
      </c>
      <c r="P136" s="9">
        <f t="shared" si="33"/>
        <v>2862351</v>
      </c>
      <c r="Q136" s="10"/>
      <c r="R136" s="206">
        <v>1300000</v>
      </c>
      <c r="S136" s="206">
        <v>1776294</v>
      </c>
      <c r="T136" s="216" t="s">
        <v>1013</v>
      </c>
      <c r="U136" s="9">
        <f t="shared" si="34"/>
        <v>2557954</v>
      </c>
      <c r="V136" s="251">
        <f t="shared" si="38"/>
        <v>255795.40000000002</v>
      </c>
      <c r="W136" s="251">
        <f t="shared" si="39"/>
        <v>48601.126000000004</v>
      </c>
      <c r="X136" s="251">
        <f t="shared" si="40"/>
        <v>2862351</v>
      </c>
      <c r="Y136" s="251">
        <f t="shared" si="41"/>
        <v>0</v>
      </c>
    </row>
    <row r="137" spans="1:25" ht="26.25" customHeight="1">
      <c r="A137" s="179" t="s">
        <v>662</v>
      </c>
      <c r="B137" s="8">
        <v>1031120358</v>
      </c>
      <c r="C137" s="8" t="s">
        <v>378</v>
      </c>
      <c r="D137" s="8" t="s">
        <v>256</v>
      </c>
      <c r="E137" s="8" t="s">
        <v>387</v>
      </c>
      <c r="F137" s="8" t="s">
        <v>322</v>
      </c>
      <c r="G137" s="224" t="s">
        <v>191</v>
      </c>
      <c r="H137" s="8" t="s">
        <v>14</v>
      </c>
      <c r="I137" s="70"/>
      <c r="J137" s="8">
        <v>30</v>
      </c>
      <c r="K137" s="172">
        <v>2465868</v>
      </c>
      <c r="L137" s="171">
        <v>2557954.36</v>
      </c>
      <c r="M137" s="9">
        <f t="shared" si="35"/>
        <v>255795.43599999999</v>
      </c>
      <c r="N137" s="9">
        <f t="shared" si="36"/>
        <v>48601.132839999998</v>
      </c>
      <c r="O137" s="9">
        <f t="shared" si="37"/>
        <v>2862350.9288400002</v>
      </c>
      <c r="P137" s="9">
        <f t="shared" si="33"/>
        <v>2862351</v>
      </c>
      <c r="Q137" s="10"/>
      <c r="R137" s="206">
        <v>1300000</v>
      </c>
      <c r="S137" s="206">
        <v>1776294</v>
      </c>
      <c r="T137" s="216" t="s">
        <v>1013</v>
      </c>
      <c r="U137" s="9">
        <f t="shared" si="34"/>
        <v>2557954</v>
      </c>
      <c r="V137" s="251">
        <f t="shared" si="38"/>
        <v>255795.40000000002</v>
      </c>
      <c r="W137" s="251">
        <f t="shared" si="39"/>
        <v>48601.126000000004</v>
      </c>
      <c r="X137" s="251">
        <f t="shared" si="40"/>
        <v>2862351</v>
      </c>
      <c r="Y137" s="251">
        <f t="shared" si="41"/>
        <v>0</v>
      </c>
    </row>
    <row r="138" spans="1:25" ht="26.25" customHeight="1">
      <c r="A138" s="179" t="s">
        <v>663</v>
      </c>
      <c r="B138" s="8">
        <v>19406447</v>
      </c>
      <c r="C138" s="8" t="s">
        <v>192</v>
      </c>
      <c r="D138" s="8" t="s">
        <v>114</v>
      </c>
      <c r="E138" s="8" t="s">
        <v>193</v>
      </c>
      <c r="F138" s="8"/>
      <c r="G138" s="224" t="s">
        <v>45</v>
      </c>
      <c r="H138" s="8" t="s">
        <v>14</v>
      </c>
      <c r="I138" s="70"/>
      <c r="J138" s="8">
        <v>30</v>
      </c>
      <c r="K138" s="172">
        <v>2465868</v>
      </c>
      <c r="L138" s="171">
        <v>2557954.36</v>
      </c>
      <c r="M138" s="9">
        <f t="shared" si="35"/>
        <v>255795.43599999999</v>
      </c>
      <c r="N138" s="9">
        <f t="shared" si="36"/>
        <v>48601.132839999998</v>
      </c>
      <c r="O138" s="9">
        <f t="shared" si="37"/>
        <v>2862350.9288400002</v>
      </c>
      <c r="P138" s="9">
        <f t="shared" si="33"/>
        <v>2862351</v>
      </c>
      <c r="Q138" s="10"/>
      <c r="R138" s="207">
        <v>1401000</v>
      </c>
      <c r="S138" s="206">
        <v>2128112</v>
      </c>
      <c r="T138" s="216" t="s">
        <v>1013</v>
      </c>
      <c r="U138" s="9">
        <f t="shared" si="34"/>
        <v>2557954</v>
      </c>
      <c r="V138" s="251">
        <f t="shared" si="38"/>
        <v>255795.40000000002</v>
      </c>
      <c r="W138" s="251">
        <f t="shared" si="39"/>
        <v>48601.126000000004</v>
      </c>
      <c r="X138" s="251">
        <f t="shared" si="40"/>
        <v>2862351</v>
      </c>
      <c r="Y138" s="251">
        <f t="shared" si="41"/>
        <v>0</v>
      </c>
    </row>
    <row r="139" spans="1:25" ht="26.25" customHeight="1">
      <c r="A139" s="179" t="s">
        <v>663</v>
      </c>
      <c r="B139" s="8">
        <v>21147562</v>
      </c>
      <c r="C139" s="8" t="s">
        <v>35</v>
      </c>
      <c r="D139" s="8" t="s">
        <v>291</v>
      </c>
      <c r="E139" s="8" t="s">
        <v>409</v>
      </c>
      <c r="F139" s="8"/>
      <c r="G139" s="224" t="s">
        <v>191</v>
      </c>
      <c r="H139" s="8" t="s">
        <v>393</v>
      </c>
      <c r="I139" s="70"/>
      <c r="J139" s="8">
        <v>30</v>
      </c>
      <c r="K139" s="172">
        <v>2465868</v>
      </c>
      <c r="L139" s="171">
        <v>2557954.36</v>
      </c>
      <c r="M139" s="9">
        <f t="shared" si="35"/>
        <v>255795.43599999999</v>
      </c>
      <c r="N139" s="9">
        <f t="shared" si="36"/>
        <v>48601.132839999998</v>
      </c>
      <c r="O139" s="9">
        <f t="shared" si="37"/>
        <v>2862350.9288400002</v>
      </c>
      <c r="P139" s="9">
        <f t="shared" si="33"/>
        <v>2862351</v>
      </c>
      <c r="Q139" s="10"/>
      <c r="R139" s="206">
        <v>1300000</v>
      </c>
      <c r="S139" s="206">
        <v>1755989</v>
      </c>
      <c r="T139" s="216" t="s">
        <v>1018</v>
      </c>
      <c r="U139" s="9">
        <f t="shared" si="34"/>
        <v>2557954</v>
      </c>
      <c r="V139" s="251">
        <f t="shared" si="38"/>
        <v>255795.40000000002</v>
      </c>
      <c r="W139" s="251">
        <f t="shared" si="39"/>
        <v>48601.126000000004</v>
      </c>
      <c r="X139" s="251">
        <f t="shared" si="40"/>
        <v>2862351</v>
      </c>
      <c r="Y139" s="251">
        <f t="shared" si="41"/>
        <v>0</v>
      </c>
    </row>
    <row r="140" spans="1:25" ht="26.25" customHeight="1">
      <c r="A140" s="179" t="s">
        <v>663</v>
      </c>
      <c r="B140" s="8">
        <v>52286356</v>
      </c>
      <c r="C140" s="8" t="s">
        <v>415</v>
      </c>
      <c r="D140" s="8" t="s">
        <v>263</v>
      </c>
      <c r="E140" s="8" t="s">
        <v>416</v>
      </c>
      <c r="F140" s="8"/>
      <c r="G140" s="224" t="s">
        <v>191</v>
      </c>
      <c r="H140" s="8" t="s">
        <v>411</v>
      </c>
      <c r="I140" s="70"/>
      <c r="J140" s="8">
        <v>30</v>
      </c>
      <c r="K140" s="172">
        <v>2465868</v>
      </c>
      <c r="L140" s="171">
        <v>2557954.36</v>
      </c>
      <c r="M140" s="9">
        <f t="shared" si="35"/>
        <v>255795.43599999999</v>
      </c>
      <c r="N140" s="9">
        <f t="shared" si="36"/>
        <v>48601.132839999998</v>
      </c>
      <c r="O140" s="9">
        <f t="shared" si="37"/>
        <v>2862350.9288400002</v>
      </c>
      <c r="P140" s="9">
        <f t="shared" si="33"/>
        <v>2862351</v>
      </c>
      <c r="Q140" s="178"/>
      <c r="R140" s="206">
        <v>1300000</v>
      </c>
      <c r="S140" s="207">
        <v>1714478</v>
      </c>
      <c r="T140" s="216" t="s">
        <v>1013</v>
      </c>
      <c r="U140" s="9">
        <f t="shared" si="34"/>
        <v>2557954</v>
      </c>
      <c r="V140" s="251">
        <f t="shared" si="38"/>
        <v>255795.40000000002</v>
      </c>
      <c r="W140" s="251">
        <f t="shared" si="39"/>
        <v>48601.126000000004</v>
      </c>
      <c r="X140" s="251">
        <f t="shared" si="40"/>
        <v>2862351</v>
      </c>
      <c r="Y140" s="251">
        <f t="shared" si="41"/>
        <v>0</v>
      </c>
    </row>
    <row r="141" spans="1:25" ht="26.25" customHeight="1">
      <c r="A141" s="179" t="s">
        <v>663</v>
      </c>
      <c r="B141" s="8">
        <v>52801072</v>
      </c>
      <c r="C141" s="8" t="s">
        <v>212</v>
      </c>
      <c r="D141" s="8" t="s">
        <v>696</v>
      </c>
      <c r="E141" s="8" t="s">
        <v>127</v>
      </c>
      <c r="F141" s="8" t="s">
        <v>697</v>
      </c>
      <c r="G141" s="224" t="s">
        <v>191</v>
      </c>
      <c r="H141" s="70">
        <v>45407</v>
      </c>
      <c r="I141" s="70"/>
      <c r="J141" s="237">
        <v>28</v>
      </c>
      <c r="K141" s="172">
        <v>2465868</v>
      </c>
      <c r="L141" s="171">
        <v>2557954.36</v>
      </c>
      <c r="M141" s="9">
        <f t="shared" si="35"/>
        <v>255795.43599999999</v>
      </c>
      <c r="N141" s="9">
        <f t="shared" si="36"/>
        <v>48601.132839999998</v>
      </c>
      <c r="O141" s="9">
        <f t="shared" si="37"/>
        <v>2862350.9288400002</v>
      </c>
      <c r="P141" s="9">
        <f t="shared" si="33"/>
        <v>2671528</v>
      </c>
      <c r="Q141" s="178" t="s">
        <v>987</v>
      </c>
      <c r="R141" s="211">
        <f>1213334+86667</f>
        <v>1300001</v>
      </c>
      <c r="S141" s="206">
        <v>1614333</v>
      </c>
      <c r="T141" s="216" t="s">
        <v>1019</v>
      </c>
      <c r="U141" s="9">
        <f t="shared" si="34"/>
        <v>2387424</v>
      </c>
      <c r="V141" s="251">
        <f t="shared" si="38"/>
        <v>238742.40000000002</v>
      </c>
      <c r="W141" s="251">
        <f t="shared" si="39"/>
        <v>45361.056000000004</v>
      </c>
      <c r="X141" s="251">
        <f t="shared" si="40"/>
        <v>2671527</v>
      </c>
      <c r="Y141" s="251">
        <f t="shared" si="41"/>
        <v>-1</v>
      </c>
    </row>
    <row r="142" spans="1:25" ht="26.25" customHeight="1">
      <c r="A142" s="179" t="s">
        <v>663</v>
      </c>
      <c r="B142" s="8">
        <v>52011281</v>
      </c>
      <c r="C142" s="8" t="s">
        <v>270</v>
      </c>
      <c r="D142" s="8"/>
      <c r="E142" s="8" t="s">
        <v>754</v>
      </c>
      <c r="F142" s="8"/>
      <c r="G142" s="8" t="s">
        <v>410</v>
      </c>
      <c r="H142" s="70"/>
      <c r="I142" s="70"/>
      <c r="J142" s="237">
        <v>2</v>
      </c>
      <c r="K142" s="172">
        <v>2465868</v>
      </c>
      <c r="L142" s="171">
        <v>2557954.36</v>
      </c>
      <c r="M142" s="9">
        <f t="shared" si="35"/>
        <v>255795.43599999999</v>
      </c>
      <c r="N142" s="9">
        <f t="shared" si="36"/>
        <v>48601.132839999998</v>
      </c>
      <c r="O142" s="9">
        <f t="shared" si="37"/>
        <v>2862350.9288400002</v>
      </c>
      <c r="P142" s="9">
        <f t="shared" si="33"/>
        <v>190823</v>
      </c>
      <c r="Q142" s="200" t="s">
        <v>1006</v>
      </c>
      <c r="R142" s="213"/>
      <c r="S142" s="213"/>
      <c r="T142" s="177"/>
      <c r="U142" s="9">
        <f t="shared" si="34"/>
        <v>170530</v>
      </c>
      <c r="V142" s="251">
        <f t="shared" si="38"/>
        <v>17053</v>
      </c>
      <c r="W142" s="251">
        <f t="shared" si="39"/>
        <v>3240.07</v>
      </c>
      <c r="X142" s="251">
        <f t="shared" si="40"/>
        <v>190823</v>
      </c>
      <c r="Y142" s="251">
        <f t="shared" si="41"/>
        <v>0</v>
      </c>
    </row>
    <row r="143" spans="1:25" ht="26.25" customHeight="1">
      <c r="A143" s="179" t="s">
        <v>663</v>
      </c>
      <c r="B143" s="8">
        <v>52822662</v>
      </c>
      <c r="C143" s="8" t="s">
        <v>212</v>
      </c>
      <c r="D143" s="8" t="s">
        <v>257</v>
      </c>
      <c r="E143" s="8" t="s">
        <v>105</v>
      </c>
      <c r="F143" s="8" t="s">
        <v>417</v>
      </c>
      <c r="G143" s="224" t="s">
        <v>191</v>
      </c>
      <c r="H143" s="8" t="s">
        <v>411</v>
      </c>
      <c r="I143" s="70"/>
      <c r="J143" s="8">
        <v>30</v>
      </c>
      <c r="K143" s="172">
        <v>2465868</v>
      </c>
      <c r="L143" s="171">
        <v>2557954.36</v>
      </c>
      <c r="M143" s="9">
        <f t="shared" si="35"/>
        <v>255795.43599999999</v>
      </c>
      <c r="N143" s="9">
        <f t="shared" si="36"/>
        <v>48601.132839999998</v>
      </c>
      <c r="O143" s="9">
        <f t="shared" si="37"/>
        <v>2862350.9288400002</v>
      </c>
      <c r="P143" s="9">
        <f t="shared" si="33"/>
        <v>2862351</v>
      </c>
      <c r="Q143" s="10"/>
      <c r="R143" s="206">
        <v>1300000</v>
      </c>
      <c r="S143" s="206">
        <v>1715378</v>
      </c>
      <c r="T143" s="216" t="s">
        <v>1017</v>
      </c>
      <c r="U143" s="9">
        <f t="shared" si="34"/>
        <v>2557954</v>
      </c>
      <c r="V143" s="251">
        <f t="shared" si="38"/>
        <v>255795.40000000002</v>
      </c>
      <c r="W143" s="251">
        <f t="shared" si="39"/>
        <v>48601.126000000004</v>
      </c>
      <c r="X143" s="251">
        <f t="shared" si="40"/>
        <v>2862351</v>
      </c>
      <c r="Y143" s="251">
        <f t="shared" si="41"/>
        <v>0</v>
      </c>
    </row>
    <row r="144" spans="1:25" ht="26.25" customHeight="1">
      <c r="A144" s="179" t="s">
        <v>663</v>
      </c>
      <c r="B144" s="8">
        <v>79633497</v>
      </c>
      <c r="C144" s="8" t="s">
        <v>273</v>
      </c>
      <c r="D144" s="8" t="s">
        <v>163</v>
      </c>
      <c r="E144" s="8" t="s">
        <v>164</v>
      </c>
      <c r="F144" s="8" t="s">
        <v>324</v>
      </c>
      <c r="G144" s="224" t="s">
        <v>13</v>
      </c>
      <c r="H144" s="8" t="s">
        <v>14</v>
      </c>
      <c r="I144" s="70"/>
      <c r="J144" s="8">
        <v>30</v>
      </c>
      <c r="K144" s="172">
        <v>2465868</v>
      </c>
      <c r="L144" s="171">
        <v>2557954.36</v>
      </c>
      <c r="M144" s="9">
        <f t="shared" si="35"/>
        <v>255795.43599999999</v>
      </c>
      <c r="N144" s="9">
        <f t="shared" si="36"/>
        <v>48601.132839999998</v>
      </c>
      <c r="O144" s="9">
        <f t="shared" si="37"/>
        <v>2862350.9288400002</v>
      </c>
      <c r="P144" s="9">
        <f t="shared" si="33"/>
        <v>2862351</v>
      </c>
      <c r="Q144" s="10"/>
      <c r="R144" s="205">
        <v>1390000</v>
      </c>
      <c r="S144" s="206">
        <v>1884844</v>
      </c>
      <c r="T144" s="216" t="s">
        <v>1017</v>
      </c>
      <c r="U144" s="9">
        <f t="shared" si="34"/>
        <v>2557954</v>
      </c>
      <c r="V144" s="251">
        <f t="shared" si="38"/>
        <v>255795.40000000002</v>
      </c>
      <c r="W144" s="251">
        <f t="shared" si="39"/>
        <v>48601.126000000004</v>
      </c>
      <c r="X144" s="251">
        <f t="shared" si="40"/>
        <v>2862351</v>
      </c>
      <c r="Y144" s="251">
        <f t="shared" si="41"/>
        <v>0</v>
      </c>
    </row>
    <row r="145" spans="1:25" ht="26.25" customHeight="1">
      <c r="A145" s="179" t="s">
        <v>663</v>
      </c>
      <c r="B145" s="8">
        <v>1019060189</v>
      </c>
      <c r="C145" s="8" t="s">
        <v>181</v>
      </c>
      <c r="D145" s="8" t="s">
        <v>182</v>
      </c>
      <c r="E145" s="8" t="s">
        <v>53</v>
      </c>
      <c r="F145" s="8" t="s">
        <v>183</v>
      </c>
      <c r="G145" s="224" t="s">
        <v>191</v>
      </c>
      <c r="H145" s="8" t="s">
        <v>14</v>
      </c>
      <c r="I145" s="70"/>
      <c r="J145" s="8">
        <v>30</v>
      </c>
      <c r="K145" s="172">
        <v>2465868</v>
      </c>
      <c r="L145" s="171">
        <v>2557954.36</v>
      </c>
      <c r="M145" s="9">
        <f t="shared" si="35"/>
        <v>255795.43599999999</v>
      </c>
      <c r="N145" s="9">
        <f t="shared" si="36"/>
        <v>48601.132839999998</v>
      </c>
      <c r="O145" s="9">
        <f t="shared" si="37"/>
        <v>2862350.9288400002</v>
      </c>
      <c r="P145" s="9">
        <f t="shared" si="33"/>
        <v>2862351</v>
      </c>
      <c r="Q145" s="178"/>
      <c r="R145" s="206">
        <v>1300000</v>
      </c>
      <c r="S145" s="207">
        <v>1768172</v>
      </c>
      <c r="T145" s="216" t="s">
        <v>1019</v>
      </c>
      <c r="U145" s="9">
        <f t="shared" si="34"/>
        <v>2557954</v>
      </c>
      <c r="V145" s="251">
        <f t="shared" si="38"/>
        <v>255795.40000000002</v>
      </c>
      <c r="W145" s="251">
        <f t="shared" si="39"/>
        <v>48601.126000000004</v>
      </c>
      <c r="X145" s="251">
        <f t="shared" si="40"/>
        <v>2862351</v>
      </c>
      <c r="Y145" s="251">
        <f t="shared" si="41"/>
        <v>0</v>
      </c>
    </row>
    <row r="146" spans="1:25" ht="26.25" customHeight="1">
      <c r="A146" s="179" t="s">
        <v>663</v>
      </c>
      <c r="B146" s="8">
        <v>1020805845</v>
      </c>
      <c r="C146" s="8" t="s">
        <v>168</v>
      </c>
      <c r="D146" s="8" t="s">
        <v>212</v>
      </c>
      <c r="E146" s="8" t="s">
        <v>402</v>
      </c>
      <c r="F146" s="8" t="s">
        <v>187</v>
      </c>
      <c r="G146" s="224" t="s">
        <v>13</v>
      </c>
      <c r="H146" s="8" t="s">
        <v>393</v>
      </c>
      <c r="I146" s="70"/>
      <c r="J146" s="8">
        <v>30</v>
      </c>
      <c r="K146" s="172">
        <v>2465868</v>
      </c>
      <c r="L146" s="171">
        <v>2557954.36</v>
      </c>
      <c r="M146" s="9">
        <f t="shared" si="35"/>
        <v>255795.43599999999</v>
      </c>
      <c r="N146" s="9">
        <f t="shared" si="36"/>
        <v>48601.132839999998</v>
      </c>
      <c r="O146" s="9">
        <f t="shared" si="37"/>
        <v>2862350.9288400002</v>
      </c>
      <c r="P146" s="9">
        <f t="shared" si="33"/>
        <v>2862351</v>
      </c>
      <c r="Q146" s="10"/>
      <c r="R146" s="205">
        <v>1390000</v>
      </c>
      <c r="S146" s="206">
        <v>1863289</v>
      </c>
      <c r="T146" s="216" t="s">
        <v>1013</v>
      </c>
      <c r="U146" s="9">
        <f t="shared" si="34"/>
        <v>2557954</v>
      </c>
      <c r="V146" s="251">
        <f t="shared" si="38"/>
        <v>255795.40000000002</v>
      </c>
      <c r="W146" s="251">
        <f t="shared" si="39"/>
        <v>48601.126000000004</v>
      </c>
      <c r="X146" s="251">
        <f t="shared" si="40"/>
        <v>2862351</v>
      </c>
      <c r="Y146" s="251">
        <f t="shared" si="41"/>
        <v>0</v>
      </c>
    </row>
    <row r="147" spans="1:25" ht="26.25" customHeight="1">
      <c r="A147" s="179" t="s">
        <v>663</v>
      </c>
      <c r="B147" s="8">
        <v>1020807133</v>
      </c>
      <c r="C147" s="8" t="s">
        <v>367</v>
      </c>
      <c r="D147" s="8" t="s">
        <v>200</v>
      </c>
      <c r="E147" s="8" t="s">
        <v>233</v>
      </c>
      <c r="F147" s="8" t="s">
        <v>369</v>
      </c>
      <c r="G147" s="224" t="s">
        <v>191</v>
      </c>
      <c r="H147" s="8" t="s">
        <v>354</v>
      </c>
      <c r="I147" s="70"/>
      <c r="J147" s="8">
        <v>30</v>
      </c>
      <c r="K147" s="172">
        <v>2465868</v>
      </c>
      <c r="L147" s="171">
        <v>2557954.36</v>
      </c>
      <c r="M147" s="9">
        <f t="shared" si="35"/>
        <v>255795.43599999999</v>
      </c>
      <c r="N147" s="9">
        <f t="shared" si="36"/>
        <v>48601.132839999998</v>
      </c>
      <c r="O147" s="9">
        <f t="shared" si="37"/>
        <v>2862350.9288400002</v>
      </c>
      <c r="P147" s="9">
        <f t="shared" si="33"/>
        <v>2862351</v>
      </c>
      <c r="Q147" s="178"/>
      <c r="R147" s="206">
        <v>1300000</v>
      </c>
      <c r="S147" s="207">
        <v>1767272</v>
      </c>
      <c r="T147" s="216" t="s">
        <v>1017</v>
      </c>
      <c r="U147" s="9">
        <f t="shared" si="34"/>
        <v>2557954</v>
      </c>
      <c r="V147" s="251">
        <f t="shared" si="38"/>
        <v>255795.40000000002</v>
      </c>
      <c r="W147" s="251">
        <f t="shared" si="39"/>
        <v>48601.126000000004</v>
      </c>
      <c r="X147" s="251">
        <f t="shared" si="40"/>
        <v>2862351</v>
      </c>
      <c r="Y147" s="251">
        <f t="shared" si="41"/>
        <v>0</v>
      </c>
    </row>
    <row r="148" spans="1:25" ht="26.25" customHeight="1">
      <c r="A148" s="179" t="s">
        <v>663</v>
      </c>
      <c r="B148" s="8">
        <v>1022990341</v>
      </c>
      <c r="C148" s="8" t="s">
        <v>339</v>
      </c>
      <c r="D148" s="8" t="s">
        <v>28</v>
      </c>
      <c r="E148" s="8" t="s">
        <v>340</v>
      </c>
      <c r="F148" s="8" t="s">
        <v>341</v>
      </c>
      <c r="G148" s="224" t="s">
        <v>191</v>
      </c>
      <c r="H148" s="8" t="s">
        <v>14</v>
      </c>
      <c r="I148" s="70"/>
      <c r="J148" s="8">
        <v>30</v>
      </c>
      <c r="K148" s="172">
        <v>2465868</v>
      </c>
      <c r="L148" s="171">
        <v>2557954.36</v>
      </c>
      <c r="M148" s="9">
        <f t="shared" si="35"/>
        <v>255795.43599999999</v>
      </c>
      <c r="N148" s="9">
        <f t="shared" si="36"/>
        <v>48601.132839999998</v>
      </c>
      <c r="O148" s="9">
        <f t="shared" si="37"/>
        <v>2862350.9288400002</v>
      </c>
      <c r="P148" s="9">
        <f t="shared" si="33"/>
        <v>2862351</v>
      </c>
      <c r="Q148" s="10"/>
      <c r="R148" s="206">
        <v>1300000</v>
      </c>
      <c r="S148" s="206">
        <v>1776294</v>
      </c>
      <c r="T148" s="217" t="s">
        <v>1019</v>
      </c>
      <c r="U148" s="9">
        <f t="shared" si="34"/>
        <v>2557954</v>
      </c>
      <c r="V148" s="251">
        <f t="shared" si="38"/>
        <v>255795.40000000002</v>
      </c>
      <c r="W148" s="251">
        <f t="shared" si="39"/>
        <v>48601.126000000004</v>
      </c>
      <c r="X148" s="251">
        <f t="shared" si="40"/>
        <v>2862351</v>
      </c>
      <c r="Y148" s="251">
        <f t="shared" si="41"/>
        <v>0</v>
      </c>
    </row>
    <row r="149" spans="1:25" ht="27" customHeight="1">
      <c r="A149" s="179" t="s">
        <v>663</v>
      </c>
      <c r="B149" s="8">
        <v>1110579008</v>
      </c>
      <c r="C149" s="8" t="s">
        <v>316</v>
      </c>
      <c r="D149" s="8" t="s">
        <v>257</v>
      </c>
      <c r="E149" s="8" t="s">
        <v>317</v>
      </c>
      <c r="F149" s="8" t="s">
        <v>223</v>
      </c>
      <c r="G149" s="224" t="s">
        <v>191</v>
      </c>
      <c r="H149" s="8" t="s">
        <v>14</v>
      </c>
      <c r="I149" s="70"/>
      <c r="J149" s="8">
        <v>30</v>
      </c>
      <c r="K149" s="172">
        <v>2465868</v>
      </c>
      <c r="L149" s="171">
        <v>2557954.36</v>
      </c>
      <c r="M149" s="9">
        <f t="shared" si="35"/>
        <v>255795.43599999999</v>
      </c>
      <c r="N149" s="9">
        <f t="shared" si="36"/>
        <v>48601.132839999998</v>
      </c>
      <c r="O149" s="9">
        <f t="shared" si="37"/>
        <v>2862350.9288400002</v>
      </c>
      <c r="P149" s="9">
        <f t="shared" si="33"/>
        <v>2862351</v>
      </c>
      <c r="Q149" s="178"/>
      <c r="R149" s="206">
        <v>1300000</v>
      </c>
      <c r="S149" s="207">
        <v>1775394</v>
      </c>
      <c r="T149" s="216" t="s">
        <v>1019</v>
      </c>
      <c r="U149" s="9">
        <f t="shared" si="34"/>
        <v>2557954</v>
      </c>
      <c r="V149" s="251">
        <f t="shared" si="38"/>
        <v>255795.40000000002</v>
      </c>
      <c r="W149" s="251">
        <f t="shared" si="39"/>
        <v>48601.126000000004</v>
      </c>
      <c r="X149" s="251">
        <f t="shared" si="40"/>
        <v>2862351</v>
      </c>
      <c r="Y149" s="251">
        <f t="shared" si="41"/>
        <v>0</v>
      </c>
    </row>
    <row r="150" spans="1:25" ht="27" customHeight="1">
      <c r="A150" s="179" t="s">
        <v>664</v>
      </c>
      <c r="B150" s="8">
        <v>1018429019</v>
      </c>
      <c r="C150" s="8" t="s">
        <v>147</v>
      </c>
      <c r="D150" s="8" t="s">
        <v>148</v>
      </c>
      <c r="E150" s="8" t="s">
        <v>71</v>
      </c>
      <c r="F150" s="8" t="s">
        <v>149</v>
      </c>
      <c r="G150" s="224" t="s">
        <v>191</v>
      </c>
      <c r="H150" s="8" t="s">
        <v>14</v>
      </c>
      <c r="I150" s="70"/>
      <c r="J150" s="8">
        <v>30</v>
      </c>
      <c r="K150" s="172">
        <v>2465868</v>
      </c>
      <c r="L150" s="171">
        <v>2557954.36</v>
      </c>
      <c r="M150" s="9">
        <f t="shared" si="35"/>
        <v>255795.43599999999</v>
      </c>
      <c r="N150" s="9">
        <f t="shared" si="36"/>
        <v>48601.132839999998</v>
      </c>
      <c r="O150" s="9">
        <f t="shared" si="37"/>
        <v>2862350.9288400002</v>
      </c>
      <c r="P150" s="9">
        <f t="shared" si="33"/>
        <v>2862351</v>
      </c>
      <c r="Q150" s="178"/>
      <c r="R150" s="206">
        <v>1300000</v>
      </c>
      <c r="S150" s="207">
        <v>1775394</v>
      </c>
      <c r="T150" s="216" t="s">
        <v>1013</v>
      </c>
      <c r="U150" s="9">
        <f t="shared" si="34"/>
        <v>2557954</v>
      </c>
      <c r="V150" s="251">
        <f t="shared" si="38"/>
        <v>255795.40000000002</v>
      </c>
      <c r="W150" s="251">
        <f t="shared" si="39"/>
        <v>48601.126000000004</v>
      </c>
      <c r="X150" s="251">
        <f t="shared" si="40"/>
        <v>2862351</v>
      </c>
      <c r="Y150" s="251">
        <f t="shared" si="41"/>
        <v>0</v>
      </c>
    </row>
    <row r="151" spans="1:25" ht="27" customHeight="1">
      <c r="A151" s="179" t="s">
        <v>664</v>
      </c>
      <c r="B151" s="8">
        <v>1031132769</v>
      </c>
      <c r="C151" s="8" t="s">
        <v>35</v>
      </c>
      <c r="D151" s="8" t="s">
        <v>161</v>
      </c>
      <c r="E151" s="8" t="s">
        <v>159</v>
      </c>
      <c r="F151" s="8" t="s">
        <v>31</v>
      </c>
      <c r="G151" s="224" t="s">
        <v>191</v>
      </c>
      <c r="H151" s="8" t="s">
        <v>14</v>
      </c>
      <c r="I151" s="70"/>
      <c r="J151" s="8">
        <v>30</v>
      </c>
      <c r="K151" s="172">
        <v>2465868</v>
      </c>
      <c r="L151" s="171">
        <v>2557954.36</v>
      </c>
      <c r="M151" s="9">
        <f t="shared" si="35"/>
        <v>255795.43599999999</v>
      </c>
      <c r="N151" s="9">
        <f t="shared" si="36"/>
        <v>48601.132839999998</v>
      </c>
      <c r="O151" s="9">
        <f t="shared" si="37"/>
        <v>2862350.9288400002</v>
      </c>
      <c r="P151" s="9">
        <f t="shared" si="33"/>
        <v>2862351</v>
      </c>
      <c r="Q151" s="10"/>
      <c r="R151" s="206">
        <v>1300000</v>
      </c>
      <c r="S151" s="206">
        <v>1773595</v>
      </c>
      <c r="T151" s="216" t="s">
        <v>1013</v>
      </c>
      <c r="U151" s="9">
        <f t="shared" si="34"/>
        <v>2557954</v>
      </c>
      <c r="V151" s="251">
        <f t="shared" si="38"/>
        <v>255795.40000000002</v>
      </c>
      <c r="W151" s="251">
        <f t="shared" si="39"/>
        <v>48601.126000000004</v>
      </c>
      <c r="X151" s="251">
        <f t="shared" si="40"/>
        <v>2862351</v>
      </c>
      <c r="Y151" s="251">
        <f t="shared" si="41"/>
        <v>0</v>
      </c>
    </row>
    <row r="152" spans="1:25" ht="27" customHeight="1">
      <c r="A152" s="179" t="s">
        <v>665</v>
      </c>
      <c r="B152" s="8">
        <v>64577288</v>
      </c>
      <c r="C152" s="8" t="s">
        <v>144</v>
      </c>
      <c r="D152" s="8" t="s">
        <v>142</v>
      </c>
      <c r="E152" s="8" t="s">
        <v>145</v>
      </c>
      <c r="F152" s="8" t="s">
        <v>146</v>
      </c>
      <c r="G152" s="224" t="s">
        <v>191</v>
      </c>
      <c r="H152" s="8" t="s">
        <v>14</v>
      </c>
      <c r="I152" s="70"/>
      <c r="J152" s="8">
        <v>30</v>
      </c>
      <c r="K152" s="172">
        <v>2465868</v>
      </c>
      <c r="L152" s="171">
        <v>2557954.36</v>
      </c>
      <c r="M152" s="9">
        <f t="shared" si="35"/>
        <v>255795.43599999999</v>
      </c>
      <c r="N152" s="9">
        <f t="shared" si="36"/>
        <v>48601.132839999998</v>
      </c>
      <c r="O152" s="9">
        <f t="shared" si="37"/>
        <v>2862350.9288400002</v>
      </c>
      <c r="P152" s="9">
        <f t="shared" si="33"/>
        <v>2862351</v>
      </c>
      <c r="Q152" s="10"/>
      <c r="R152" s="206">
        <v>1300000</v>
      </c>
      <c r="S152" s="206">
        <v>1776294</v>
      </c>
      <c r="T152" s="216" t="s">
        <v>1013</v>
      </c>
      <c r="U152" s="9">
        <f t="shared" si="34"/>
        <v>2557954</v>
      </c>
      <c r="V152" s="251">
        <f t="shared" si="38"/>
        <v>255795.40000000002</v>
      </c>
      <c r="W152" s="251">
        <f t="shared" si="39"/>
        <v>48601.126000000004</v>
      </c>
      <c r="X152" s="251">
        <f t="shared" si="40"/>
        <v>2862351</v>
      </c>
      <c r="Y152" s="251">
        <f t="shared" si="41"/>
        <v>0</v>
      </c>
    </row>
    <row r="153" spans="1:25" ht="26.25" customHeight="1">
      <c r="A153" s="179" t="s">
        <v>665</v>
      </c>
      <c r="B153" s="8">
        <v>1020727061</v>
      </c>
      <c r="C153" s="8" t="s">
        <v>163</v>
      </c>
      <c r="D153" s="8" t="s">
        <v>166</v>
      </c>
      <c r="E153" s="8" t="s">
        <v>71</v>
      </c>
      <c r="F153" s="8" t="s">
        <v>167</v>
      </c>
      <c r="G153" s="224" t="s">
        <v>191</v>
      </c>
      <c r="H153" s="8" t="s">
        <v>14</v>
      </c>
      <c r="I153" s="70"/>
      <c r="J153" s="237">
        <v>28</v>
      </c>
      <c r="K153" s="172">
        <v>2465868</v>
      </c>
      <c r="L153" s="171">
        <v>2557954.36</v>
      </c>
      <c r="M153" s="9">
        <f t="shared" si="35"/>
        <v>255795.43599999999</v>
      </c>
      <c r="N153" s="9">
        <f t="shared" si="36"/>
        <v>48601.132839999998</v>
      </c>
      <c r="O153" s="9">
        <f t="shared" si="37"/>
        <v>2862350.9288400002</v>
      </c>
      <c r="P153" s="9">
        <f t="shared" si="33"/>
        <v>2671528</v>
      </c>
      <c r="Q153" s="178" t="s">
        <v>994</v>
      </c>
      <c r="R153" s="211">
        <f>1213334+86667</f>
        <v>1300001</v>
      </c>
      <c r="S153" s="206">
        <v>1677639</v>
      </c>
      <c r="T153" s="216" t="s">
        <v>1013</v>
      </c>
      <c r="U153" s="9">
        <f t="shared" si="34"/>
        <v>2387424</v>
      </c>
      <c r="V153" s="251">
        <f t="shared" si="38"/>
        <v>238742.40000000002</v>
      </c>
      <c r="W153" s="251">
        <f t="shared" si="39"/>
        <v>45361.056000000004</v>
      </c>
      <c r="X153" s="251">
        <f t="shared" si="40"/>
        <v>2671527</v>
      </c>
      <c r="Y153" s="251">
        <f t="shared" si="41"/>
        <v>-1</v>
      </c>
    </row>
    <row r="154" spans="1:25" ht="26.25" customHeight="1">
      <c r="A154" s="179" t="s">
        <v>665</v>
      </c>
      <c r="B154" s="8">
        <v>52011281</v>
      </c>
      <c r="C154" s="8" t="s">
        <v>270</v>
      </c>
      <c r="D154" s="8"/>
      <c r="E154" s="8" t="s">
        <v>754</v>
      </c>
      <c r="F154" s="8"/>
      <c r="G154" s="8" t="s">
        <v>410</v>
      </c>
      <c r="H154" s="8"/>
      <c r="I154" s="70"/>
      <c r="J154" s="237">
        <v>2</v>
      </c>
      <c r="K154" s="172">
        <v>2465868</v>
      </c>
      <c r="L154" s="171">
        <v>2557954.36</v>
      </c>
      <c r="M154" s="9">
        <f t="shared" ref="M154" si="42">+L154*10%</f>
        <v>255795.43599999999</v>
      </c>
      <c r="N154" s="9">
        <f t="shared" ref="N154" si="43">+M154*19%</f>
        <v>48601.132839999998</v>
      </c>
      <c r="O154" s="9">
        <f t="shared" ref="O154" si="44">+L154+M154+N154</f>
        <v>2862350.9288400002</v>
      </c>
      <c r="P154" s="9">
        <f t="shared" ref="P154" si="45">+ROUND(((O154/30)*J154),0)</f>
        <v>190823</v>
      </c>
      <c r="Q154" s="177" t="s">
        <v>1007</v>
      </c>
      <c r="R154" s="213">
        <v>1300000</v>
      </c>
      <c r="S154" s="213">
        <v>1358000</v>
      </c>
      <c r="T154" s="177" t="s">
        <v>960</v>
      </c>
      <c r="U154" s="9">
        <f t="shared" ref="U154" si="46">+ROUND(((L154/30)*J154),0)</f>
        <v>170530</v>
      </c>
      <c r="V154" s="251">
        <f t="shared" si="38"/>
        <v>17053</v>
      </c>
      <c r="W154" s="251">
        <f t="shared" si="39"/>
        <v>3240.07</v>
      </c>
      <c r="X154" s="251">
        <f t="shared" si="40"/>
        <v>190823</v>
      </c>
      <c r="Y154" s="251">
        <f t="shared" si="41"/>
        <v>0</v>
      </c>
    </row>
    <row r="155" spans="1:25">
      <c r="A155" s="179" t="s">
        <v>666</v>
      </c>
      <c r="B155" s="8">
        <v>52500946</v>
      </c>
      <c r="C155" s="8" t="s">
        <v>147</v>
      </c>
      <c r="D155" s="8" t="s">
        <v>352</v>
      </c>
      <c r="E155" s="8" t="s">
        <v>353</v>
      </c>
      <c r="F155" s="8" t="s">
        <v>47</v>
      </c>
      <c r="G155" s="224" t="s">
        <v>191</v>
      </c>
      <c r="H155" s="8" t="s">
        <v>354</v>
      </c>
      <c r="I155" s="70"/>
      <c r="J155" s="8">
        <v>30</v>
      </c>
      <c r="K155" s="172">
        <v>2465868</v>
      </c>
      <c r="L155" s="171">
        <v>2557954.36</v>
      </c>
      <c r="M155" s="9">
        <f t="shared" si="35"/>
        <v>255795.43599999999</v>
      </c>
      <c r="N155" s="9">
        <f t="shared" si="36"/>
        <v>48601.132839999998</v>
      </c>
      <c r="O155" s="9">
        <f t="shared" si="37"/>
        <v>2862350.9288400002</v>
      </c>
      <c r="P155" s="9">
        <f t="shared" si="33"/>
        <v>2862351</v>
      </c>
      <c r="Q155" s="10"/>
      <c r="R155" s="206">
        <v>1300000</v>
      </c>
      <c r="S155" s="206">
        <v>1768172</v>
      </c>
      <c r="T155" s="216" t="s">
        <v>1014</v>
      </c>
      <c r="U155" s="9">
        <f t="shared" si="34"/>
        <v>2557954</v>
      </c>
      <c r="V155" s="251">
        <f t="shared" si="38"/>
        <v>255795.40000000002</v>
      </c>
      <c r="W155" s="251">
        <f t="shared" si="39"/>
        <v>48601.126000000004</v>
      </c>
      <c r="X155" s="251">
        <f t="shared" si="40"/>
        <v>2862351</v>
      </c>
      <c r="Y155" s="251">
        <f t="shared" si="41"/>
        <v>0</v>
      </c>
    </row>
    <row r="156" spans="1:25" ht="26.25" customHeight="1">
      <c r="A156" s="179" t="s">
        <v>666</v>
      </c>
      <c r="B156" s="8">
        <v>1033745896</v>
      </c>
      <c r="C156" s="8" t="s">
        <v>971</v>
      </c>
      <c r="D156" s="8" t="s">
        <v>972</v>
      </c>
      <c r="E156" s="8" t="s">
        <v>47</v>
      </c>
      <c r="F156" s="8" t="s">
        <v>995</v>
      </c>
      <c r="G156" s="224" t="s">
        <v>191</v>
      </c>
      <c r="H156" s="70">
        <v>45444</v>
      </c>
      <c r="I156" s="70"/>
      <c r="J156" s="237">
        <v>4</v>
      </c>
      <c r="K156" s="172">
        <v>2465868</v>
      </c>
      <c r="L156" s="171">
        <v>2557954.36</v>
      </c>
      <c r="M156" s="9">
        <f t="shared" ref="M156" si="47">+L156*10%</f>
        <v>255795.43599999999</v>
      </c>
      <c r="N156" s="9">
        <f t="shared" ref="N156" si="48">+M156*19%</f>
        <v>48601.132839999998</v>
      </c>
      <c r="O156" s="9">
        <f t="shared" ref="O156" si="49">+L156+M156+N156</f>
        <v>2862350.9288400002</v>
      </c>
      <c r="P156" s="9">
        <f t="shared" ref="P156" si="50">+ROUND(((O156/30)*J156),0)</f>
        <v>381647</v>
      </c>
      <c r="Q156" s="178" t="s">
        <v>996</v>
      </c>
      <c r="R156" s="206">
        <v>1300000</v>
      </c>
      <c r="S156" s="207">
        <v>1479833</v>
      </c>
      <c r="T156" s="216" t="s">
        <v>1018</v>
      </c>
      <c r="U156" s="9">
        <f t="shared" ref="U156" si="51">+ROUND(((L156/30)*J156),0)</f>
        <v>341061</v>
      </c>
      <c r="V156" s="251">
        <f t="shared" si="38"/>
        <v>34106.1</v>
      </c>
      <c r="W156" s="251">
        <f t="shared" si="39"/>
        <v>6480.1589999999997</v>
      </c>
      <c r="X156" s="251">
        <f t="shared" si="40"/>
        <v>381647</v>
      </c>
      <c r="Y156" s="251">
        <f t="shared" si="41"/>
        <v>0</v>
      </c>
    </row>
    <row r="157" spans="1:25" ht="26.25" customHeight="1">
      <c r="A157" s="179" t="s">
        <v>666</v>
      </c>
      <c r="B157" s="8">
        <v>51909861</v>
      </c>
      <c r="C157" s="8" t="s">
        <v>41</v>
      </c>
      <c r="D157" s="8"/>
      <c r="E157" s="8" t="s">
        <v>71</v>
      </c>
      <c r="F157" s="8" t="s">
        <v>433</v>
      </c>
      <c r="G157" s="224" t="s">
        <v>191</v>
      </c>
      <c r="H157" s="70">
        <v>45407</v>
      </c>
      <c r="I157" s="70"/>
      <c r="J157" s="237">
        <v>26</v>
      </c>
      <c r="K157" s="172">
        <v>2465868</v>
      </c>
      <c r="L157" s="171">
        <v>2557954.36</v>
      </c>
      <c r="M157" s="9">
        <f t="shared" si="35"/>
        <v>255795.43599999999</v>
      </c>
      <c r="N157" s="9">
        <f t="shared" si="36"/>
        <v>48601.132839999998</v>
      </c>
      <c r="O157" s="9">
        <f t="shared" si="37"/>
        <v>2862350.9288400002</v>
      </c>
      <c r="P157" s="9">
        <f t="shared" si="33"/>
        <v>2480704</v>
      </c>
      <c r="Q157" s="178" t="s">
        <v>998</v>
      </c>
      <c r="R157" s="205">
        <v>1300000</v>
      </c>
      <c r="S157" s="207">
        <v>1626033</v>
      </c>
      <c r="T157" s="216" t="s">
        <v>1012</v>
      </c>
      <c r="U157" s="9">
        <f t="shared" si="34"/>
        <v>2216894</v>
      </c>
      <c r="V157" s="251">
        <f t="shared" si="38"/>
        <v>221689.40000000002</v>
      </c>
      <c r="W157" s="251">
        <f t="shared" si="39"/>
        <v>42120.986000000004</v>
      </c>
      <c r="X157" s="251">
        <f t="shared" si="40"/>
        <v>2480704</v>
      </c>
      <c r="Y157" s="251">
        <f t="shared" si="41"/>
        <v>0</v>
      </c>
    </row>
    <row r="158" spans="1:25" ht="26.25" customHeight="1">
      <c r="A158" s="179" t="s">
        <v>666</v>
      </c>
      <c r="B158" s="8">
        <v>1023015035</v>
      </c>
      <c r="C158" s="8" t="s">
        <v>291</v>
      </c>
      <c r="D158" s="8" t="s">
        <v>273</v>
      </c>
      <c r="E158" s="8" t="s">
        <v>294</v>
      </c>
      <c r="F158" s="8" t="s">
        <v>295</v>
      </c>
      <c r="G158" s="224" t="s">
        <v>13</v>
      </c>
      <c r="H158" s="8" t="s">
        <v>14</v>
      </c>
      <c r="I158" s="70"/>
      <c r="J158" s="8">
        <v>30</v>
      </c>
      <c r="K158" s="172">
        <v>2465868</v>
      </c>
      <c r="L158" s="171">
        <v>2557954.36</v>
      </c>
      <c r="M158" s="9">
        <f t="shared" si="35"/>
        <v>255795.43599999999</v>
      </c>
      <c r="N158" s="9">
        <f t="shared" si="36"/>
        <v>48601.132839999998</v>
      </c>
      <c r="O158" s="9">
        <f t="shared" si="37"/>
        <v>2862350.9288400002</v>
      </c>
      <c r="P158" s="9">
        <f t="shared" si="33"/>
        <v>2862351</v>
      </c>
      <c r="Q158" s="10"/>
      <c r="R158" s="205">
        <v>1390000</v>
      </c>
      <c r="S158" s="206">
        <v>1884844</v>
      </c>
      <c r="T158" s="216" t="s">
        <v>1013</v>
      </c>
      <c r="U158" s="9">
        <f t="shared" si="34"/>
        <v>2557954</v>
      </c>
      <c r="V158" s="251">
        <f t="shared" si="38"/>
        <v>255795.40000000002</v>
      </c>
      <c r="W158" s="251">
        <f t="shared" si="39"/>
        <v>48601.126000000004</v>
      </c>
      <c r="X158" s="251">
        <f t="shared" si="40"/>
        <v>2862351</v>
      </c>
      <c r="Y158" s="251">
        <f t="shared" si="41"/>
        <v>0</v>
      </c>
    </row>
    <row r="159" spans="1:25" ht="26.25" customHeight="1">
      <c r="A159" s="179" t="s">
        <v>667</v>
      </c>
      <c r="B159" s="8">
        <v>52130077</v>
      </c>
      <c r="C159" s="8" t="s">
        <v>168</v>
      </c>
      <c r="D159" s="8" t="s">
        <v>19</v>
      </c>
      <c r="E159" s="8" t="s">
        <v>173</v>
      </c>
      <c r="F159" s="8"/>
      <c r="G159" s="224" t="s">
        <v>191</v>
      </c>
      <c r="H159" s="8" t="s">
        <v>14</v>
      </c>
      <c r="I159" s="70"/>
      <c r="J159" s="8">
        <v>30</v>
      </c>
      <c r="K159" s="172">
        <v>2465868</v>
      </c>
      <c r="L159" s="171">
        <v>2557954.36</v>
      </c>
      <c r="M159" s="9">
        <f t="shared" si="35"/>
        <v>255795.43599999999</v>
      </c>
      <c r="N159" s="9">
        <f t="shared" si="36"/>
        <v>48601.132839999998</v>
      </c>
      <c r="O159" s="9">
        <f t="shared" si="37"/>
        <v>2862350.9288400002</v>
      </c>
      <c r="P159" s="9">
        <f t="shared" si="33"/>
        <v>2862351</v>
      </c>
      <c r="Q159" s="10"/>
      <c r="R159" s="206">
        <v>1300000</v>
      </c>
      <c r="S159" s="206">
        <v>1776294</v>
      </c>
      <c r="T159" s="216" t="s">
        <v>1017</v>
      </c>
      <c r="U159" s="9">
        <f t="shared" si="34"/>
        <v>2557954</v>
      </c>
      <c r="V159" s="251">
        <f t="shared" si="38"/>
        <v>255795.40000000002</v>
      </c>
      <c r="W159" s="251">
        <f t="shared" si="39"/>
        <v>48601.126000000004</v>
      </c>
      <c r="X159" s="251">
        <f t="shared" si="40"/>
        <v>2862351</v>
      </c>
      <c r="Y159" s="251">
        <f t="shared" si="41"/>
        <v>0</v>
      </c>
    </row>
    <row r="160" spans="1:25" ht="26.25" customHeight="1">
      <c r="A160" s="179" t="s">
        <v>667</v>
      </c>
      <c r="B160" s="8">
        <v>52389391</v>
      </c>
      <c r="C160" s="8" t="s">
        <v>194</v>
      </c>
      <c r="D160" s="8" t="s">
        <v>195</v>
      </c>
      <c r="E160" s="8" t="s">
        <v>196</v>
      </c>
      <c r="F160" s="8" t="s">
        <v>53</v>
      </c>
      <c r="G160" s="224" t="s">
        <v>191</v>
      </c>
      <c r="H160" s="8" t="s">
        <v>14</v>
      </c>
      <c r="I160" s="70"/>
      <c r="J160" s="8">
        <v>30</v>
      </c>
      <c r="K160" s="172">
        <v>2465868</v>
      </c>
      <c r="L160" s="171">
        <v>2557954.36</v>
      </c>
      <c r="M160" s="9">
        <f t="shared" si="35"/>
        <v>255795.43599999999</v>
      </c>
      <c r="N160" s="9">
        <f t="shared" si="36"/>
        <v>48601.132839999998</v>
      </c>
      <c r="O160" s="9">
        <f t="shared" si="37"/>
        <v>2862350.9288400002</v>
      </c>
      <c r="P160" s="9">
        <f t="shared" si="33"/>
        <v>2862351</v>
      </c>
      <c r="Q160" s="10"/>
      <c r="R160" s="206">
        <v>1300000</v>
      </c>
      <c r="S160" s="206">
        <v>1776294</v>
      </c>
      <c r="T160" s="216" t="s">
        <v>1017</v>
      </c>
      <c r="U160" s="9">
        <f t="shared" si="34"/>
        <v>2557954</v>
      </c>
      <c r="V160" s="251">
        <f t="shared" si="38"/>
        <v>255795.40000000002</v>
      </c>
      <c r="W160" s="251">
        <f t="shared" si="39"/>
        <v>48601.126000000004</v>
      </c>
      <c r="X160" s="251">
        <f t="shared" si="40"/>
        <v>2862351</v>
      </c>
      <c r="Y160" s="251">
        <f t="shared" si="41"/>
        <v>0</v>
      </c>
    </row>
    <row r="161" spans="1:25" ht="26.25" customHeight="1">
      <c r="A161" s="179" t="s">
        <v>667</v>
      </c>
      <c r="B161" s="8">
        <v>1127388893</v>
      </c>
      <c r="C161" s="8" t="s">
        <v>291</v>
      </c>
      <c r="D161" s="8" t="s">
        <v>292</v>
      </c>
      <c r="E161" s="8" t="s">
        <v>153</v>
      </c>
      <c r="F161" s="8" t="s">
        <v>293</v>
      </c>
      <c r="G161" s="224" t="s">
        <v>13</v>
      </c>
      <c r="H161" s="8" t="s">
        <v>14</v>
      </c>
      <c r="I161" s="70"/>
      <c r="J161" s="8">
        <v>30</v>
      </c>
      <c r="K161" s="172">
        <v>2465868</v>
      </c>
      <c r="L161" s="171">
        <v>2557954.36</v>
      </c>
      <c r="M161" s="9">
        <f t="shared" si="35"/>
        <v>255795.43599999999</v>
      </c>
      <c r="N161" s="9">
        <f t="shared" si="36"/>
        <v>48601.132839999998</v>
      </c>
      <c r="O161" s="9">
        <f t="shared" si="37"/>
        <v>2862350.9288400002</v>
      </c>
      <c r="P161" s="9">
        <f t="shared" si="33"/>
        <v>2862351</v>
      </c>
      <c r="Q161" s="10"/>
      <c r="R161" s="205">
        <v>1390000</v>
      </c>
      <c r="S161" s="206">
        <v>1884844</v>
      </c>
      <c r="T161" s="216" t="s">
        <v>961</v>
      </c>
      <c r="U161" s="9">
        <f t="shared" si="34"/>
        <v>2557954</v>
      </c>
      <c r="V161" s="251">
        <f t="shared" si="38"/>
        <v>255795.40000000002</v>
      </c>
      <c r="W161" s="251">
        <f t="shared" si="39"/>
        <v>48601.126000000004</v>
      </c>
      <c r="X161" s="251">
        <f t="shared" si="40"/>
        <v>2862351</v>
      </c>
      <c r="Y161" s="251">
        <f t="shared" si="41"/>
        <v>0</v>
      </c>
    </row>
    <row r="162" spans="1:25" ht="26.25" customHeight="1">
      <c r="A162" s="179" t="s">
        <v>668</v>
      </c>
      <c r="B162" s="8">
        <v>12753966</v>
      </c>
      <c r="C162" s="8" t="s">
        <v>259</v>
      </c>
      <c r="D162" s="8" t="s">
        <v>260</v>
      </c>
      <c r="E162" s="8" t="s">
        <v>261</v>
      </c>
      <c r="F162" s="8" t="s">
        <v>262</v>
      </c>
      <c r="G162" s="224" t="s">
        <v>13</v>
      </c>
      <c r="H162" s="8" t="s">
        <v>14</v>
      </c>
      <c r="I162" s="70"/>
      <c r="J162" s="8">
        <v>30</v>
      </c>
      <c r="K162" s="172">
        <v>2465868</v>
      </c>
      <c r="L162" s="171">
        <v>2557954.36</v>
      </c>
      <c r="M162" s="9">
        <f t="shared" si="35"/>
        <v>255795.43599999999</v>
      </c>
      <c r="N162" s="9">
        <f t="shared" si="36"/>
        <v>48601.132839999998</v>
      </c>
      <c r="O162" s="9">
        <f t="shared" si="37"/>
        <v>2862350.9288400002</v>
      </c>
      <c r="P162" s="9">
        <f t="shared" si="33"/>
        <v>2862351</v>
      </c>
      <c r="Q162" s="10"/>
      <c r="R162" s="205">
        <v>1390000</v>
      </c>
      <c r="S162" s="206">
        <v>1884844</v>
      </c>
      <c r="T162" s="216" t="s">
        <v>1017</v>
      </c>
      <c r="U162" s="9">
        <f t="shared" si="34"/>
        <v>2557954</v>
      </c>
      <c r="V162" s="251">
        <f t="shared" si="38"/>
        <v>255795.40000000002</v>
      </c>
      <c r="W162" s="251">
        <f t="shared" si="39"/>
        <v>48601.126000000004</v>
      </c>
      <c r="X162" s="251">
        <f t="shared" si="40"/>
        <v>2862351</v>
      </c>
      <c r="Y162" s="251">
        <f t="shared" si="41"/>
        <v>0</v>
      </c>
    </row>
    <row r="163" spans="1:25" ht="26.25" customHeight="1">
      <c r="A163" s="179" t="s">
        <v>668</v>
      </c>
      <c r="B163" s="8">
        <v>39798258</v>
      </c>
      <c r="C163" s="8" t="s">
        <v>168</v>
      </c>
      <c r="D163" s="8" t="s">
        <v>169</v>
      </c>
      <c r="E163" s="8" t="s">
        <v>170</v>
      </c>
      <c r="F163" s="8"/>
      <c r="G163" s="224" t="s">
        <v>191</v>
      </c>
      <c r="H163" s="8" t="s">
        <v>14</v>
      </c>
      <c r="I163" s="70"/>
      <c r="J163" s="8">
        <v>30</v>
      </c>
      <c r="K163" s="172">
        <v>2465868</v>
      </c>
      <c r="L163" s="171">
        <v>2557954.36</v>
      </c>
      <c r="M163" s="9">
        <f t="shared" si="35"/>
        <v>255795.43599999999</v>
      </c>
      <c r="N163" s="9">
        <f t="shared" si="36"/>
        <v>48601.132839999998</v>
      </c>
      <c r="O163" s="9">
        <f t="shared" si="37"/>
        <v>2862350.9288400002</v>
      </c>
      <c r="P163" s="9">
        <f t="shared" si="33"/>
        <v>2862351</v>
      </c>
      <c r="Q163" s="10"/>
      <c r="R163" s="206">
        <v>1300000</v>
      </c>
      <c r="S163" s="206">
        <v>1775394</v>
      </c>
      <c r="T163" s="216" t="s">
        <v>1013</v>
      </c>
      <c r="U163" s="9">
        <f t="shared" si="34"/>
        <v>2557954</v>
      </c>
      <c r="V163" s="251">
        <f t="shared" si="38"/>
        <v>255795.40000000002</v>
      </c>
      <c r="W163" s="251">
        <f t="shared" si="39"/>
        <v>48601.126000000004</v>
      </c>
      <c r="X163" s="251">
        <f t="shared" si="40"/>
        <v>2862351</v>
      </c>
      <c r="Y163" s="251">
        <f t="shared" si="41"/>
        <v>0</v>
      </c>
    </row>
    <row r="164" spans="1:25" ht="26.25" customHeight="1">
      <c r="A164" s="179" t="s">
        <v>668</v>
      </c>
      <c r="B164" s="8">
        <v>52800585</v>
      </c>
      <c r="C164" s="8" t="s">
        <v>250</v>
      </c>
      <c r="D164" s="8" t="s">
        <v>251</v>
      </c>
      <c r="E164" s="8" t="s">
        <v>60</v>
      </c>
      <c r="F164" s="8" t="s">
        <v>54</v>
      </c>
      <c r="G164" s="224" t="s">
        <v>191</v>
      </c>
      <c r="H164" s="8" t="s">
        <v>14</v>
      </c>
      <c r="I164" s="70"/>
      <c r="J164" s="237">
        <v>27</v>
      </c>
      <c r="K164" s="172">
        <v>2465868</v>
      </c>
      <c r="L164" s="171">
        <v>2557954.36</v>
      </c>
      <c r="M164" s="9">
        <f t="shared" si="35"/>
        <v>255795.43599999999</v>
      </c>
      <c r="N164" s="9">
        <f t="shared" si="36"/>
        <v>48601.132839999998</v>
      </c>
      <c r="O164" s="9">
        <f t="shared" si="37"/>
        <v>2862350.9288400002</v>
      </c>
      <c r="P164" s="9">
        <f t="shared" si="33"/>
        <v>2576116</v>
      </c>
      <c r="Q164" s="177" t="s">
        <v>1066</v>
      </c>
      <c r="R164" s="211">
        <f>1170000+86667+43334</f>
        <v>1300001</v>
      </c>
      <c r="S164" s="206">
        <v>1758746</v>
      </c>
      <c r="T164" s="216" t="s">
        <v>1013</v>
      </c>
      <c r="U164" s="9">
        <f t="shared" si="34"/>
        <v>2302159</v>
      </c>
      <c r="V164" s="251">
        <f t="shared" si="38"/>
        <v>230215.90000000002</v>
      </c>
      <c r="W164" s="251">
        <f t="shared" si="39"/>
        <v>43741.021000000008</v>
      </c>
      <c r="X164" s="251">
        <f t="shared" si="40"/>
        <v>2576116</v>
      </c>
      <c r="Y164" s="251">
        <f t="shared" si="41"/>
        <v>0</v>
      </c>
    </row>
    <row r="165" spans="1:25" ht="26.25" customHeight="1">
      <c r="A165" s="179" t="s">
        <v>668</v>
      </c>
      <c r="B165" s="8">
        <v>52011281</v>
      </c>
      <c r="C165" s="8" t="s">
        <v>270</v>
      </c>
      <c r="D165" s="8"/>
      <c r="E165" s="8" t="s">
        <v>754</v>
      </c>
      <c r="F165" s="8"/>
      <c r="G165" s="8" t="s">
        <v>410</v>
      </c>
      <c r="H165" s="8"/>
      <c r="I165" s="70"/>
      <c r="J165" s="185">
        <v>0</v>
      </c>
      <c r="K165" s="172">
        <v>2465868</v>
      </c>
      <c r="L165" s="171">
        <v>2557954.36</v>
      </c>
      <c r="M165" s="9">
        <f t="shared" si="35"/>
        <v>255795.43599999999</v>
      </c>
      <c r="N165" s="9">
        <f t="shared" si="36"/>
        <v>48601.132839999998</v>
      </c>
      <c r="O165" s="9">
        <f t="shared" si="37"/>
        <v>2862350.9288400002</v>
      </c>
      <c r="P165" s="9">
        <f t="shared" si="33"/>
        <v>0</v>
      </c>
      <c r="Q165" s="177" t="s">
        <v>1065</v>
      </c>
      <c r="R165" s="213"/>
      <c r="S165" s="213"/>
      <c r="T165" s="177"/>
      <c r="U165" s="9">
        <f t="shared" si="34"/>
        <v>0</v>
      </c>
      <c r="V165" s="251">
        <f t="shared" si="38"/>
        <v>0</v>
      </c>
      <c r="W165" s="251">
        <f t="shared" si="39"/>
        <v>0</v>
      </c>
      <c r="X165" s="251">
        <f t="shared" si="40"/>
        <v>0</v>
      </c>
      <c r="Y165" s="251">
        <f t="shared" si="41"/>
        <v>0</v>
      </c>
    </row>
    <row r="166" spans="1:25" ht="26.25" customHeight="1">
      <c r="A166" s="179" t="s">
        <v>668</v>
      </c>
      <c r="B166" s="8">
        <v>53153000</v>
      </c>
      <c r="C166" s="8" t="s">
        <v>28</v>
      </c>
      <c r="D166" s="8" t="s">
        <v>28</v>
      </c>
      <c r="E166" s="8" t="s">
        <v>32</v>
      </c>
      <c r="F166" s="8" t="s">
        <v>33</v>
      </c>
      <c r="G166" s="224" t="s">
        <v>191</v>
      </c>
      <c r="H166" s="8" t="s">
        <v>14</v>
      </c>
      <c r="I166" s="70"/>
      <c r="J166" s="8">
        <v>30</v>
      </c>
      <c r="K166" s="172">
        <v>2465868</v>
      </c>
      <c r="L166" s="171">
        <v>2557954.36</v>
      </c>
      <c r="M166" s="9">
        <f t="shared" ref="M166:M198" si="52">+L166*10%</f>
        <v>255795.43599999999</v>
      </c>
      <c r="N166" s="9">
        <f t="shared" ref="N166:N198" si="53">+M166*19%</f>
        <v>48601.132839999998</v>
      </c>
      <c r="O166" s="9">
        <f t="shared" ref="O166:O198" si="54">+L166+M166+N166</f>
        <v>2862350.9288400002</v>
      </c>
      <c r="P166" s="9">
        <f t="shared" si="33"/>
        <v>2862351</v>
      </c>
      <c r="Q166" s="10"/>
      <c r="R166" s="206">
        <v>1300000</v>
      </c>
      <c r="S166" s="206">
        <v>1776294</v>
      </c>
      <c r="T166" s="216" t="s">
        <v>1013</v>
      </c>
      <c r="U166" s="9">
        <f t="shared" si="34"/>
        <v>2557954</v>
      </c>
      <c r="V166" s="251">
        <f t="shared" si="38"/>
        <v>255795.40000000002</v>
      </c>
      <c r="W166" s="251">
        <f t="shared" si="39"/>
        <v>48601.126000000004</v>
      </c>
      <c r="X166" s="251">
        <f t="shared" si="40"/>
        <v>2862351</v>
      </c>
      <c r="Y166" s="251">
        <f t="shared" si="41"/>
        <v>0</v>
      </c>
    </row>
    <row r="167" spans="1:25" ht="26.25" customHeight="1">
      <c r="A167" s="179" t="s">
        <v>668</v>
      </c>
      <c r="B167" s="8">
        <v>77106343</v>
      </c>
      <c r="C167" s="8" t="s">
        <v>751</v>
      </c>
      <c r="D167" s="8" t="s">
        <v>217</v>
      </c>
      <c r="E167" s="8" t="s">
        <v>246</v>
      </c>
      <c r="F167" s="8" t="s">
        <v>748</v>
      </c>
      <c r="G167" s="224" t="s">
        <v>13</v>
      </c>
      <c r="H167" s="70">
        <v>45429</v>
      </c>
      <c r="I167" s="70"/>
      <c r="J167" s="8">
        <v>30</v>
      </c>
      <c r="K167" s="172">
        <v>2465868</v>
      </c>
      <c r="L167" s="171">
        <v>2557954.36</v>
      </c>
      <c r="M167" s="9">
        <f t="shared" si="52"/>
        <v>255795.43599999999</v>
      </c>
      <c r="N167" s="9">
        <f t="shared" si="53"/>
        <v>48601.132839999998</v>
      </c>
      <c r="O167" s="9">
        <f t="shared" si="54"/>
        <v>2862350.9288400002</v>
      </c>
      <c r="P167" s="9">
        <f t="shared" si="33"/>
        <v>2862351</v>
      </c>
      <c r="Q167" s="10"/>
      <c r="R167" s="206">
        <v>1390000</v>
      </c>
      <c r="S167" s="206">
        <v>1630489</v>
      </c>
      <c r="T167" s="216" t="s">
        <v>1017</v>
      </c>
      <c r="U167" s="9">
        <f t="shared" si="34"/>
        <v>2557954</v>
      </c>
      <c r="V167" s="251">
        <f t="shared" si="38"/>
        <v>255795.40000000002</v>
      </c>
      <c r="W167" s="251">
        <f t="shared" si="39"/>
        <v>48601.126000000004</v>
      </c>
      <c r="X167" s="251">
        <f t="shared" si="40"/>
        <v>2862351</v>
      </c>
      <c r="Y167" s="251">
        <f t="shared" si="41"/>
        <v>0</v>
      </c>
    </row>
    <row r="168" spans="1:25" ht="26.25" customHeight="1">
      <c r="A168" s="179" t="s">
        <v>668</v>
      </c>
      <c r="B168" s="8">
        <v>1010219099</v>
      </c>
      <c r="C168" s="8" t="s">
        <v>263</v>
      </c>
      <c r="D168" s="8"/>
      <c r="E168" s="8" t="s">
        <v>264</v>
      </c>
      <c r="F168" s="8" t="s">
        <v>265</v>
      </c>
      <c r="G168" s="224" t="s">
        <v>191</v>
      </c>
      <c r="H168" s="8" t="s">
        <v>14</v>
      </c>
      <c r="I168" s="70"/>
      <c r="J168" s="8">
        <v>30</v>
      </c>
      <c r="K168" s="172">
        <v>2465868</v>
      </c>
      <c r="L168" s="171">
        <v>2557954.36</v>
      </c>
      <c r="M168" s="9">
        <f t="shared" si="52"/>
        <v>255795.43599999999</v>
      </c>
      <c r="N168" s="9">
        <f t="shared" si="53"/>
        <v>48601.132839999998</v>
      </c>
      <c r="O168" s="9">
        <f t="shared" si="54"/>
        <v>2862350.9288400002</v>
      </c>
      <c r="P168" s="9">
        <f t="shared" si="33"/>
        <v>2862351</v>
      </c>
      <c r="Q168" s="10"/>
      <c r="R168" s="206">
        <v>1300000</v>
      </c>
      <c r="S168" s="206">
        <v>1775394</v>
      </c>
      <c r="T168" s="216" t="s">
        <v>1013</v>
      </c>
      <c r="U168" s="9">
        <f t="shared" si="34"/>
        <v>2557954</v>
      </c>
      <c r="V168" s="251">
        <f t="shared" si="38"/>
        <v>255795.40000000002</v>
      </c>
      <c r="W168" s="251">
        <f t="shared" si="39"/>
        <v>48601.126000000004</v>
      </c>
      <c r="X168" s="251">
        <f t="shared" si="40"/>
        <v>2862351</v>
      </c>
      <c r="Y168" s="251">
        <f t="shared" si="41"/>
        <v>0</v>
      </c>
    </row>
    <row r="169" spans="1:25" ht="26.25" customHeight="1">
      <c r="A169" s="179" t="s">
        <v>669</v>
      </c>
      <c r="B169" s="8">
        <v>52038209</v>
      </c>
      <c r="C169" s="8" t="s">
        <v>252</v>
      </c>
      <c r="D169" s="8" t="s">
        <v>254</v>
      </c>
      <c r="E169" s="8" t="s">
        <v>255</v>
      </c>
      <c r="F169" s="8"/>
      <c r="G169" s="224" t="s">
        <v>191</v>
      </c>
      <c r="H169" s="8" t="s">
        <v>14</v>
      </c>
      <c r="I169" s="70"/>
      <c r="J169" s="8">
        <v>30</v>
      </c>
      <c r="K169" s="172">
        <v>2465868</v>
      </c>
      <c r="L169" s="171">
        <v>2557954.36</v>
      </c>
      <c r="M169" s="9">
        <f t="shared" si="52"/>
        <v>255795.43599999999</v>
      </c>
      <c r="N169" s="9">
        <f t="shared" si="53"/>
        <v>48601.132839999998</v>
      </c>
      <c r="O169" s="9">
        <f t="shared" si="54"/>
        <v>2862350.9288400002</v>
      </c>
      <c r="P169" s="9">
        <f t="shared" si="33"/>
        <v>2862351</v>
      </c>
      <c r="Q169" s="10"/>
      <c r="R169" s="206">
        <v>1300000</v>
      </c>
      <c r="S169" s="206">
        <v>1776294</v>
      </c>
      <c r="T169" s="216" t="s">
        <v>1013</v>
      </c>
      <c r="U169" s="9">
        <f t="shared" si="34"/>
        <v>2557954</v>
      </c>
      <c r="V169" s="251">
        <f t="shared" si="38"/>
        <v>255795.40000000002</v>
      </c>
      <c r="W169" s="251">
        <f t="shared" si="39"/>
        <v>48601.126000000004</v>
      </c>
      <c r="X169" s="251">
        <f t="shared" si="40"/>
        <v>2862351</v>
      </c>
      <c r="Y169" s="251">
        <f t="shared" si="41"/>
        <v>0</v>
      </c>
    </row>
    <row r="170" spans="1:25" ht="26.25" customHeight="1">
      <c r="A170" s="179" t="s">
        <v>670</v>
      </c>
      <c r="B170" s="8">
        <v>52028199</v>
      </c>
      <c r="C170" s="8" t="s">
        <v>377</v>
      </c>
      <c r="D170" s="8" t="s">
        <v>378</v>
      </c>
      <c r="E170" s="8" t="s">
        <v>379</v>
      </c>
      <c r="F170" s="8"/>
      <c r="G170" s="224" t="s">
        <v>191</v>
      </c>
      <c r="H170" s="8" t="s">
        <v>354</v>
      </c>
      <c r="I170" s="70"/>
      <c r="J170" s="237">
        <v>28</v>
      </c>
      <c r="K170" s="172">
        <v>2465868</v>
      </c>
      <c r="L170" s="171">
        <v>2557954.36</v>
      </c>
      <c r="M170" s="9">
        <f t="shared" si="52"/>
        <v>255795.43599999999</v>
      </c>
      <c r="N170" s="9">
        <f t="shared" si="53"/>
        <v>48601.132839999998</v>
      </c>
      <c r="O170" s="9">
        <f t="shared" si="54"/>
        <v>2862350.9288400002</v>
      </c>
      <c r="P170" s="9">
        <f t="shared" si="33"/>
        <v>2671528</v>
      </c>
      <c r="Q170" s="201" t="s">
        <v>988</v>
      </c>
      <c r="R170" s="211">
        <f>1213334+86667</f>
        <v>1300001</v>
      </c>
      <c r="S170" s="206">
        <v>1756472</v>
      </c>
      <c r="T170" s="216" t="s">
        <v>961</v>
      </c>
      <c r="U170" s="9">
        <f t="shared" si="34"/>
        <v>2387424</v>
      </c>
      <c r="V170" s="251">
        <f t="shared" si="38"/>
        <v>238742.40000000002</v>
      </c>
      <c r="W170" s="251">
        <f t="shared" si="39"/>
        <v>45361.056000000004</v>
      </c>
      <c r="X170" s="251">
        <f t="shared" si="40"/>
        <v>2671527</v>
      </c>
      <c r="Y170" s="251">
        <f t="shared" si="41"/>
        <v>-1</v>
      </c>
    </row>
    <row r="171" spans="1:25" ht="26.25" customHeight="1">
      <c r="A171" s="179" t="s">
        <v>670</v>
      </c>
      <c r="B171" s="8">
        <v>53048504</v>
      </c>
      <c r="C171" s="8" t="s">
        <v>756</v>
      </c>
      <c r="D171" s="8" t="s">
        <v>35</v>
      </c>
      <c r="E171" s="8" t="s">
        <v>322</v>
      </c>
      <c r="F171" s="8"/>
      <c r="G171" s="8" t="s">
        <v>410</v>
      </c>
      <c r="H171" s="8"/>
      <c r="I171" s="70"/>
      <c r="J171" s="237">
        <v>1</v>
      </c>
      <c r="K171" s="172">
        <v>2465868</v>
      </c>
      <c r="L171" s="171">
        <v>2557954.36</v>
      </c>
      <c r="M171" s="9">
        <f t="shared" si="52"/>
        <v>255795.43599999999</v>
      </c>
      <c r="N171" s="9">
        <f t="shared" si="53"/>
        <v>48601.132839999998</v>
      </c>
      <c r="O171" s="9">
        <f t="shared" si="54"/>
        <v>2862350.9288400002</v>
      </c>
      <c r="P171" s="9">
        <f t="shared" si="33"/>
        <v>95412</v>
      </c>
      <c r="Q171" s="177" t="s">
        <v>1008</v>
      </c>
      <c r="R171" s="213"/>
      <c r="S171" s="213"/>
      <c r="T171" s="177"/>
      <c r="U171" s="9">
        <f t="shared" si="34"/>
        <v>85265</v>
      </c>
      <c r="V171" s="251">
        <f t="shared" si="38"/>
        <v>8526.5</v>
      </c>
      <c r="W171" s="251">
        <f t="shared" si="39"/>
        <v>1620.0350000000001</v>
      </c>
      <c r="X171" s="251">
        <f t="shared" si="40"/>
        <v>95412</v>
      </c>
      <c r="Y171" s="251">
        <f t="shared" si="41"/>
        <v>0</v>
      </c>
    </row>
    <row r="172" spans="1:25" ht="26.25" customHeight="1">
      <c r="A172" s="179" t="s">
        <v>670</v>
      </c>
      <c r="B172" s="8">
        <v>53176412</v>
      </c>
      <c r="C172" s="8" t="s">
        <v>139</v>
      </c>
      <c r="D172" s="8" t="s">
        <v>332</v>
      </c>
      <c r="E172" s="8" t="s">
        <v>333</v>
      </c>
      <c r="F172" s="8"/>
      <c r="G172" s="224" t="s">
        <v>191</v>
      </c>
      <c r="H172" s="8" t="s">
        <v>14</v>
      </c>
      <c r="I172" s="70"/>
      <c r="J172" s="8">
        <v>30</v>
      </c>
      <c r="K172" s="172">
        <v>2465868</v>
      </c>
      <c r="L172" s="171">
        <v>2557954.36</v>
      </c>
      <c r="M172" s="9">
        <f t="shared" si="52"/>
        <v>255795.43599999999</v>
      </c>
      <c r="N172" s="9">
        <f t="shared" si="53"/>
        <v>48601.132839999998</v>
      </c>
      <c r="O172" s="9">
        <f t="shared" si="54"/>
        <v>2862350.9288400002</v>
      </c>
      <c r="P172" s="9">
        <f t="shared" si="33"/>
        <v>2862351</v>
      </c>
      <c r="Q172" s="10"/>
      <c r="R172" s="206">
        <v>1300000</v>
      </c>
      <c r="S172" s="206">
        <v>1776294</v>
      </c>
      <c r="T172" s="216" t="s">
        <v>1013</v>
      </c>
      <c r="U172" s="9">
        <f t="shared" si="34"/>
        <v>2557954</v>
      </c>
      <c r="V172" s="251">
        <f t="shared" si="38"/>
        <v>255795.40000000002</v>
      </c>
      <c r="W172" s="251">
        <f t="shared" si="39"/>
        <v>48601.126000000004</v>
      </c>
      <c r="X172" s="251">
        <f t="shared" si="40"/>
        <v>2862351</v>
      </c>
      <c r="Y172" s="251">
        <f t="shared" si="41"/>
        <v>0</v>
      </c>
    </row>
    <row r="173" spans="1:25" ht="26.25" customHeight="1">
      <c r="A173" s="179" t="s">
        <v>670</v>
      </c>
      <c r="B173" s="8">
        <v>79449859</v>
      </c>
      <c r="C173" s="8" t="s">
        <v>273</v>
      </c>
      <c r="D173" s="8" t="s">
        <v>78</v>
      </c>
      <c r="E173" s="8" t="s">
        <v>226</v>
      </c>
      <c r="F173" s="8" t="s">
        <v>323</v>
      </c>
      <c r="G173" s="224" t="s">
        <v>13</v>
      </c>
      <c r="H173" s="8" t="s">
        <v>14</v>
      </c>
      <c r="I173" s="70"/>
      <c r="J173" s="8">
        <v>30</v>
      </c>
      <c r="K173" s="172">
        <v>2465868</v>
      </c>
      <c r="L173" s="171">
        <v>2557954.36</v>
      </c>
      <c r="M173" s="9">
        <f t="shared" si="52"/>
        <v>255795.43599999999</v>
      </c>
      <c r="N173" s="9">
        <f t="shared" si="53"/>
        <v>48601.132839999998</v>
      </c>
      <c r="O173" s="9">
        <f t="shared" si="54"/>
        <v>2862350.9288400002</v>
      </c>
      <c r="P173" s="9">
        <f t="shared" si="33"/>
        <v>2862351</v>
      </c>
      <c r="Q173" s="10"/>
      <c r="R173" s="205">
        <v>1390000</v>
      </c>
      <c r="S173" s="206">
        <v>1884844</v>
      </c>
      <c r="T173" s="216" t="s">
        <v>1013</v>
      </c>
      <c r="U173" s="9">
        <f t="shared" si="34"/>
        <v>2557954</v>
      </c>
      <c r="V173" s="251">
        <f t="shared" si="38"/>
        <v>255795.40000000002</v>
      </c>
      <c r="W173" s="251">
        <f t="shared" si="39"/>
        <v>48601.126000000004</v>
      </c>
      <c r="X173" s="251">
        <f t="shared" si="40"/>
        <v>2862351</v>
      </c>
      <c r="Y173" s="251">
        <f t="shared" si="41"/>
        <v>0</v>
      </c>
    </row>
    <row r="174" spans="1:25" ht="26.25" customHeight="1">
      <c r="A174" s="179" t="s">
        <v>670</v>
      </c>
      <c r="B174" s="8">
        <v>79812858</v>
      </c>
      <c r="C174" s="8" t="s">
        <v>199</v>
      </c>
      <c r="D174" s="8" t="s">
        <v>757</v>
      </c>
      <c r="E174" s="8" t="s">
        <v>758</v>
      </c>
      <c r="F174" s="8"/>
      <c r="G174" s="224" t="s">
        <v>89</v>
      </c>
      <c r="H174" s="70">
        <v>45429</v>
      </c>
      <c r="I174" s="70">
        <v>45464</v>
      </c>
      <c r="J174" s="237">
        <v>19</v>
      </c>
      <c r="K174" s="172">
        <v>2465868</v>
      </c>
      <c r="L174" s="171">
        <v>2557954.36</v>
      </c>
      <c r="M174" s="9">
        <f t="shared" si="52"/>
        <v>255795.43599999999</v>
      </c>
      <c r="N174" s="9">
        <f t="shared" si="53"/>
        <v>48601.132839999998</v>
      </c>
      <c r="O174" s="9">
        <f t="shared" si="54"/>
        <v>2862350.9288400002</v>
      </c>
      <c r="P174" s="9">
        <f t="shared" si="33"/>
        <v>1812822</v>
      </c>
      <c r="Q174" s="178" t="s">
        <v>1068</v>
      </c>
      <c r="R174" s="209">
        <f>1220400+90400+45200</f>
        <v>1356000</v>
      </c>
      <c r="S174" s="222">
        <v>657776</v>
      </c>
      <c r="T174" s="200" t="s">
        <v>959</v>
      </c>
      <c r="U174" s="9">
        <f t="shared" si="34"/>
        <v>1620038</v>
      </c>
      <c r="V174" s="251">
        <f t="shared" si="38"/>
        <v>162003.80000000002</v>
      </c>
      <c r="W174" s="251">
        <f t="shared" si="39"/>
        <v>30780.722000000005</v>
      </c>
      <c r="X174" s="251">
        <f t="shared" si="40"/>
        <v>1812823</v>
      </c>
      <c r="Y174" s="251">
        <f t="shared" si="41"/>
        <v>1</v>
      </c>
    </row>
    <row r="175" spans="1:25" ht="26.25" customHeight="1">
      <c r="A175" s="179" t="s">
        <v>670</v>
      </c>
      <c r="B175" s="8">
        <v>1015398680</v>
      </c>
      <c r="C175" s="8" t="s">
        <v>19</v>
      </c>
      <c r="D175" s="8" t="s">
        <v>28</v>
      </c>
      <c r="E175" s="8" t="s">
        <v>285</v>
      </c>
      <c r="F175" s="8" t="s">
        <v>286</v>
      </c>
      <c r="G175" s="224" t="s">
        <v>13</v>
      </c>
      <c r="H175" s="8" t="s">
        <v>14</v>
      </c>
      <c r="I175" s="70"/>
      <c r="J175" s="8">
        <v>30</v>
      </c>
      <c r="K175" s="172">
        <v>2465868</v>
      </c>
      <c r="L175" s="171">
        <v>2557954.36</v>
      </c>
      <c r="M175" s="9">
        <f t="shared" si="52"/>
        <v>255795.43599999999</v>
      </c>
      <c r="N175" s="9">
        <f t="shared" si="53"/>
        <v>48601.132839999998</v>
      </c>
      <c r="O175" s="9">
        <f t="shared" si="54"/>
        <v>2862350.9288400002</v>
      </c>
      <c r="P175" s="9">
        <f t="shared" si="33"/>
        <v>2862351</v>
      </c>
      <c r="Q175" s="178"/>
      <c r="R175" s="205">
        <v>1390000</v>
      </c>
      <c r="S175" s="207">
        <v>1876222</v>
      </c>
      <c r="T175" s="216" t="s">
        <v>1013</v>
      </c>
      <c r="U175" s="9">
        <f t="shared" si="34"/>
        <v>2557954</v>
      </c>
      <c r="V175" s="251">
        <f t="shared" si="38"/>
        <v>255795.40000000002</v>
      </c>
      <c r="W175" s="251">
        <f t="shared" si="39"/>
        <v>48601.126000000004</v>
      </c>
      <c r="X175" s="251">
        <f t="shared" si="40"/>
        <v>2862351</v>
      </c>
      <c r="Y175" s="251">
        <f t="shared" si="41"/>
        <v>0</v>
      </c>
    </row>
    <row r="176" spans="1:25" ht="26.25" customHeight="1">
      <c r="A176" s="179" t="s">
        <v>670</v>
      </c>
      <c r="B176" s="8">
        <v>1023941569</v>
      </c>
      <c r="C176" s="8" t="s">
        <v>41</v>
      </c>
      <c r="D176" s="8" t="s">
        <v>42</v>
      </c>
      <c r="E176" s="8" t="s">
        <v>43</v>
      </c>
      <c r="F176" s="8" t="s">
        <v>44</v>
      </c>
      <c r="G176" s="224" t="s">
        <v>45</v>
      </c>
      <c r="H176" s="8" t="s">
        <v>14</v>
      </c>
      <c r="I176" s="70"/>
      <c r="J176" s="8">
        <v>30</v>
      </c>
      <c r="K176" s="172">
        <v>2465868</v>
      </c>
      <c r="L176" s="171">
        <v>2557954.36</v>
      </c>
      <c r="M176" s="9">
        <f t="shared" si="52"/>
        <v>255795.43599999999</v>
      </c>
      <c r="N176" s="9">
        <f t="shared" si="53"/>
        <v>48601.132839999998</v>
      </c>
      <c r="O176" s="9">
        <f t="shared" si="54"/>
        <v>2862350.9288400002</v>
      </c>
      <c r="P176" s="9">
        <f t="shared" si="33"/>
        <v>2862351</v>
      </c>
      <c r="Q176" s="10"/>
      <c r="R176" s="207">
        <v>1401000</v>
      </c>
      <c r="S176" s="206">
        <v>2127212</v>
      </c>
      <c r="T176" s="216" t="s">
        <v>1013</v>
      </c>
      <c r="U176" s="9">
        <f t="shared" si="34"/>
        <v>2557954</v>
      </c>
      <c r="V176" s="251">
        <f t="shared" si="38"/>
        <v>255795.40000000002</v>
      </c>
      <c r="W176" s="251">
        <f t="shared" si="39"/>
        <v>48601.126000000004</v>
      </c>
      <c r="X176" s="251">
        <f t="shared" si="40"/>
        <v>2862351</v>
      </c>
      <c r="Y176" s="251">
        <f t="shared" si="41"/>
        <v>0</v>
      </c>
    </row>
    <row r="177" spans="1:25" ht="26.25" customHeight="1">
      <c r="A177" s="179" t="s">
        <v>670</v>
      </c>
      <c r="B177" s="8">
        <v>1024547275</v>
      </c>
      <c r="C177" s="8" t="s">
        <v>121</v>
      </c>
      <c r="D177" s="8" t="s">
        <v>122</v>
      </c>
      <c r="E177" s="8" t="s">
        <v>123</v>
      </c>
      <c r="F177" s="8" t="s">
        <v>124</v>
      </c>
      <c r="G177" s="224" t="s">
        <v>191</v>
      </c>
      <c r="H177" s="8" t="s">
        <v>14</v>
      </c>
      <c r="I177" s="70"/>
      <c r="J177" s="8">
        <v>30</v>
      </c>
      <c r="K177" s="172">
        <v>2465868</v>
      </c>
      <c r="L177" s="171">
        <v>2557954.36</v>
      </c>
      <c r="M177" s="9">
        <f t="shared" si="52"/>
        <v>255795.43599999999</v>
      </c>
      <c r="N177" s="9">
        <f t="shared" si="53"/>
        <v>48601.132839999998</v>
      </c>
      <c r="O177" s="9">
        <f t="shared" si="54"/>
        <v>2862350.9288400002</v>
      </c>
      <c r="P177" s="9">
        <f t="shared" si="33"/>
        <v>2862351</v>
      </c>
      <c r="Q177" s="10"/>
      <c r="R177" s="206">
        <v>1300000</v>
      </c>
      <c r="S177" s="206">
        <v>1774044</v>
      </c>
      <c r="T177" s="216" t="s">
        <v>1013</v>
      </c>
      <c r="U177" s="9">
        <f t="shared" si="34"/>
        <v>2557954</v>
      </c>
      <c r="V177" s="251">
        <f t="shared" si="38"/>
        <v>255795.40000000002</v>
      </c>
      <c r="W177" s="251">
        <f t="shared" si="39"/>
        <v>48601.126000000004</v>
      </c>
      <c r="X177" s="251">
        <f t="shared" si="40"/>
        <v>2862351</v>
      </c>
      <c r="Y177" s="251">
        <f t="shared" si="41"/>
        <v>0</v>
      </c>
    </row>
    <row r="178" spans="1:25" ht="26.25" customHeight="1">
      <c r="A178" s="179" t="s">
        <v>670</v>
      </c>
      <c r="B178" s="8">
        <v>1084743310</v>
      </c>
      <c r="C178" s="8" t="s">
        <v>227</v>
      </c>
      <c r="D178" s="8" t="s">
        <v>228</v>
      </c>
      <c r="E178" s="8" t="s">
        <v>229</v>
      </c>
      <c r="F178" s="8" t="s">
        <v>230</v>
      </c>
      <c r="G178" s="224" t="s">
        <v>191</v>
      </c>
      <c r="H178" s="8" t="s">
        <v>14</v>
      </c>
      <c r="I178" s="70"/>
      <c r="J178" s="8">
        <v>30</v>
      </c>
      <c r="K178" s="172">
        <v>2465868</v>
      </c>
      <c r="L178" s="171">
        <v>2557954.36</v>
      </c>
      <c r="M178" s="9">
        <f t="shared" si="52"/>
        <v>255795.43599999999</v>
      </c>
      <c r="N178" s="9">
        <f t="shared" si="53"/>
        <v>48601.132839999998</v>
      </c>
      <c r="O178" s="9">
        <f t="shared" si="54"/>
        <v>2862350.9288400002</v>
      </c>
      <c r="P178" s="9">
        <f t="shared" si="33"/>
        <v>2862351</v>
      </c>
      <c r="Q178" s="10"/>
      <c r="R178" s="206">
        <v>1300000</v>
      </c>
      <c r="S178" s="206">
        <v>1776294</v>
      </c>
      <c r="T178" s="216" t="s">
        <v>1013</v>
      </c>
      <c r="U178" s="9">
        <f t="shared" si="34"/>
        <v>2557954</v>
      </c>
      <c r="V178" s="251">
        <f t="shared" si="38"/>
        <v>255795.40000000002</v>
      </c>
      <c r="W178" s="251">
        <f t="shared" si="39"/>
        <v>48601.126000000004</v>
      </c>
      <c r="X178" s="251">
        <f t="shared" si="40"/>
        <v>2862351</v>
      </c>
      <c r="Y178" s="251">
        <f t="shared" si="41"/>
        <v>0</v>
      </c>
    </row>
    <row r="179" spans="1:25" ht="26.25" customHeight="1">
      <c r="A179" s="179" t="s">
        <v>671</v>
      </c>
      <c r="B179" s="8">
        <v>14191476</v>
      </c>
      <c r="C179" s="8" t="s">
        <v>50</v>
      </c>
      <c r="D179" s="8" t="s">
        <v>203</v>
      </c>
      <c r="E179" s="8" t="s">
        <v>204</v>
      </c>
      <c r="F179" s="8"/>
      <c r="G179" s="224" t="s">
        <v>89</v>
      </c>
      <c r="H179" s="8" t="s">
        <v>14</v>
      </c>
      <c r="I179" s="70"/>
      <c r="J179" s="8">
        <v>30</v>
      </c>
      <c r="K179" s="172">
        <v>2465868</v>
      </c>
      <c r="L179" s="171">
        <v>2557954.36</v>
      </c>
      <c r="M179" s="9">
        <f t="shared" si="52"/>
        <v>255795.43599999999</v>
      </c>
      <c r="N179" s="9">
        <f t="shared" si="53"/>
        <v>48601.132839999998</v>
      </c>
      <c r="O179" s="9">
        <f t="shared" si="54"/>
        <v>2862350.9288400002</v>
      </c>
      <c r="P179" s="9">
        <f t="shared" si="33"/>
        <v>2862351</v>
      </c>
      <c r="Q179" s="10"/>
      <c r="R179" s="211">
        <v>1390000</v>
      </c>
      <c r="S179" s="206">
        <v>1884844</v>
      </c>
      <c r="T179" s="216" t="s">
        <v>1013</v>
      </c>
      <c r="U179" s="9">
        <f t="shared" si="34"/>
        <v>2557954</v>
      </c>
      <c r="V179" s="251">
        <f t="shared" si="38"/>
        <v>255795.40000000002</v>
      </c>
      <c r="W179" s="251">
        <f t="shared" si="39"/>
        <v>48601.126000000004</v>
      </c>
      <c r="X179" s="251">
        <f t="shared" si="40"/>
        <v>2862351</v>
      </c>
      <c r="Y179" s="251">
        <f t="shared" si="41"/>
        <v>0</v>
      </c>
    </row>
    <row r="180" spans="1:25" ht="26.25" customHeight="1">
      <c r="A180" s="179" t="s">
        <v>671</v>
      </c>
      <c r="B180" s="8">
        <v>52465439</v>
      </c>
      <c r="C180" s="8" t="s">
        <v>199</v>
      </c>
      <c r="D180" s="8" t="s">
        <v>127</v>
      </c>
      <c r="E180" s="8" t="s">
        <v>128</v>
      </c>
      <c r="F180" s="8"/>
      <c r="G180" s="224" t="s">
        <v>191</v>
      </c>
      <c r="H180" s="8" t="s">
        <v>14</v>
      </c>
      <c r="I180" s="70"/>
      <c r="J180" s="237">
        <v>21</v>
      </c>
      <c r="K180" s="172">
        <v>2465868</v>
      </c>
      <c r="L180" s="171">
        <v>2557954.36</v>
      </c>
      <c r="M180" s="9">
        <f t="shared" si="52"/>
        <v>255795.43599999999</v>
      </c>
      <c r="N180" s="9">
        <f t="shared" si="53"/>
        <v>48601.132839999998</v>
      </c>
      <c r="O180" s="9">
        <f t="shared" si="54"/>
        <v>2862350.9288400002</v>
      </c>
      <c r="P180" s="9">
        <f t="shared" si="33"/>
        <v>2003646</v>
      </c>
      <c r="Q180" s="200" t="s">
        <v>1069</v>
      </c>
      <c r="R180" s="209">
        <f>1213334+86667</f>
        <v>1300001</v>
      </c>
      <c r="S180" s="207">
        <v>1763244</v>
      </c>
      <c r="T180" s="216" t="s">
        <v>1013</v>
      </c>
      <c r="U180" s="9">
        <f t="shared" si="34"/>
        <v>1790568</v>
      </c>
      <c r="V180" s="251">
        <f t="shared" si="38"/>
        <v>179056.80000000002</v>
      </c>
      <c r="W180" s="251">
        <f t="shared" si="39"/>
        <v>34020.792000000001</v>
      </c>
      <c r="X180" s="251">
        <f t="shared" si="40"/>
        <v>2003646</v>
      </c>
      <c r="Y180" s="251">
        <f t="shared" si="41"/>
        <v>0</v>
      </c>
    </row>
    <row r="181" spans="1:25" ht="26.25" customHeight="1">
      <c r="A181" s="179" t="s">
        <v>671</v>
      </c>
      <c r="B181" s="8">
        <v>1021395108</v>
      </c>
      <c r="C181" s="8" t="s">
        <v>171</v>
      </c>
      <c r="D181" s="8" t="s">
        <v>220</v>
      </c>
      <c r="E181" s="8" t="s">
        <v>236</v>
      </c>
      <c r="F181" s="8" t="s">
        <v>237</v>
      </c>
      <c r="G181" s="224" t="s">
        <v>191</v>
      </c>
      <c r="H181" s="8" t="s">
        <v>14</v>
      </c>
      <c r="I181" s="70"/>
      <c r="J181" s="237">
        <v>7</v>
      </c>
      <c r="K181" s="172">
        <v>2465868</v>
      </c>
      <c r="L181" s="171">
        <v>2557954.36</v>
      </c>
      <c r="M181" s="9">
        <f t="shared" si="52"/>
        <v>255795.43599999999</v>
      </c>
      <c r="N181" s="9">
        <f t="shared" si="53"/>
        <v>48601.132839999998</v>
      </c>
      <c r="O181" s="9">
        <f t="shared" si="54"/>
        <v>2862350.9288400002</v>
      </c>
      <c r="P181" s="9">
        <f t="shared" si="33"/>
        <v>667882</v>
      </c>
      <c r="Q181" s="10" t="s">
        <v>990</v>
      </c>
      <c r="R181" s="206">
        <v>1300000</v>
      </c>
      <c r="S181" s="206">
        <v>1776294</v>
      </c>
      <c r="T181" s="216" t="s">
        <v>1013</v>
      </c>
      <c r="U181" s="9">
        <f t="shared" si="34"/>
        <v>596856</v>
      </c>
      <c r="V181" s="251">
        <f t="shared" si="38"/>
        <v>59685.600000000006</v>
      </c>
      <c r="W181" s="251">
        <f t="shared" si="39"/>
        <v>11340.264000000001</v>
      </c>
      <c r="X181" s="251">
        <f t="shared" si="40"/>
        <v>667882</v>
      </c>
      <c r="Y181" s="251">
        <f t="shared" si="41"/>
        <v>0</v>
      </c>
    </row>
    <row r="182" spans="1:25" ht="26.25" customHeight="1">
      <c r="A182" s="179" t="s">
        <v>671</v>
      </c>
      <c r="B182" s="8">
        <v>52832379</v>
      </c>
      <c r="C182" s="8" t="s">
        <v>214</v>
      </c>
      <c r="D182" s="8" t="s">
        <v>217</v>
      </c>
      <c r="E182" s="8" t="s">
        <v>218</v>
      </c>
      <c r="F182" s="8" t="s">
        <v>219</v>
      </c>
      <c r="G182" s="224" t="s">
        <v>191</v>
      </c>
      <c r="H182" s="8" t="s">
        <v>14</v>
      </c>
      <c r="I182" s="70"/>
      <c r="J182" s="237">
        <v>28</v>
      </c>
      <c r="K182" s="172">
        <v>2465868</v>
      </c>
      <c r="L182" s="171">
        <v>2557954.36</v>
      </c>
      <c r="M182" s="9">
        <f t="shared" si="52"/>
        <v>255795.43599999999</v>
      </c>
      <c r="N182" s="9">
        <f t="shared" si="53"/>
        <v>48601.132839999998</v>
      </c>
      <c r="O182" s="9">
        <f t="shared" si="54"/>
        <v>2862350.9288400002</v>
      </c>
      <c r="P182" s="9">
        <f t="shared" si="33"/>
        <v>2671528</v>
      </c>
      <c r="Q182" s="10" t="s">
        <v>1070</v>
      </c>
      <c r="R182" s="211">
        <f>1213334+86667</f>
        <v>1300001</v>
      </c>
      <c r="S182" s="206">
        <v>1677639</v>
      </c>
      <c r="T182" s="216" t="s">
        <v>1013</v>
      </c>
      <c r="U182" s="9">
        <f t="shared" si="34"/>
        <v>2387424</v>
      </c>
      <c r="V182" s="251">
        <f t="shared" si="38"/>
        <v>238742.40000000002</v>
      </c>
      <c r="W182" s="251">
        <f t="shared" si="39"/>
        <v>45361.056000000004</v>
      </c>
      <c r="X182" s="251">
        <f t="shared" si="40"/>
        <v>2671527</v>
      </c>
      <c r="Y182" s="251">
        <f t="shared" si="41"/>
        <v>-1</v>
      </c>
    </row>
    <row r="183" spans="1:25" ht="26.25" customHeight="1">
      <c r="A183" s="179" t="s">
        <v>671</v>
      </c>
      <c r="B183" s="8">
        <v>80194605</v>
      </c>
      <c r="C183" s="8" t="s">
        <v>427</v>
      </c>
      <c r="D183" s="8" t="s">
        <v>428</v>
      </c>
      <c r="E183" s="8" t="s">
        <v>429</v>
      </c>
      <c r="F183" s="8" t="s">
        <v>175</v>
      </c>
      <c r="G183" s="224" t="s">
        <v>13</v>
      </c>
      <c r="H183" s="8" t="s">
        <v>420</v>
      </c>
      <c r="I183" s="70"/>
      <c r="J183" s="8">
        <v>30</v>
      </c>
      <c r="K183" s="172">
        <v>2465868</v>
      </c>
      <c r="L183" s="171">
        <v>2557954.36</v>
      </c>
      <c r="M183" s="9">
        <f t="shared" si="52"/>
        <v>255795.43599999999</v>
      </c>
      <c r="N183" s="9">
        <f t="shared" si="53"/>
        <v>48601.132839999998</v>
      </c>
      <c r="O183" s="9">
        <f t="shared" si="54"/>
        <v>2862350.9288400002</v>
      </c>
      <c r="P183" s="9">
        <f t="shared" si="33"/>
        <v>2862351</v>
      </c>
      <c r="Q183" s="10"/>
      <c r="R183" s="205">
        <v>1390000</v>
      </c>
      <c r="S183" s="206">
        <v>1777067</v>
      </c>
      <c r="T183" s="217" t="s">
        <v>1013</v>
      </c>
      <c r="U183" s="9">
        <f t="shared" si="34"/>
        <v>2557954</v>
      </c>
      <c r="V183" s="251">
        <f t="shared" si="38"/>
        <v>255795.40000000002</v>
      </c>
      <c r="W183" s="251">
        <f t="shared" si="39"/>
        <v>48601.126000000004</v>
      </c>
      <c r="X183" s="251">
        <f t="shared" si="40"/>
        <v>2862351</v>
      </c>
      <c r="Y183" s="251">
        <f t="shared" si="41"/>
        <v>0</v>
      </c>
    </row>
    <row r="184" spans="1:25" ht="26.25" customHeight="1">
      <c r="A184" s="179" t="s">
        <v>671</v>
      </c>
      <c r="B184" s="8">
        <v>12200896</v>
      </c>
      <c r="C184" s="8" t="s">
        <v>749</v>
      </c>
      <c r="D184" s="8" t="s">
        <v>750</v>
      </c>
      <c r="E184" s="8" t="s">
        <v>25</v>
      </c>
      <c r="F184" s="8"/>
      <c r="G184" s="224" t="s">
        <v>13</v>
      </c>
      <c r="H184" s="70">
        <v>45429</v>
      </c>
      <c r="I184" s="70"/>
      <c r="J184" s="8">
        <v>30</v>
      </c>
      <c r="K184" s="172">
        <v>2465868</v>
      </c>
      <c r="L184" s="171">
        <v>2557954.36</v>
      </c>
      <c r="M184" s="9">
        <f t="shared" si="52"/>
        <v>255795.43599999999</v>
      </c>
      <c r="N184" s="9">
        <f t="shared" si="53"/>
        <v>48601.132839999998</v>
      </c>
      <c r="O184" s="9">
        <f t="shared" si="54"/>
        <v>2862350.9288400002</v>
      </c>
      <c r="P184" s="9">
        <f t="shared" si="33"/>
        <v>2862351</v>
      </c>
      <c r="Q184" s="10"/>
      <c r="R184" s="205">
        <v>1390000</v>
      </c>
      <c r="S184" s="206">
        <v>1630489</v>
      </c>
      <c r="T184" s="216" t="s">
        <v>1015</v>
      </c>
      <c r="U184" s="9">
        <f t="shared" si="34"/>
        <v>2557954</v>
      </c>
      <c r="V184" s="251">
        <f t="shared" si="38"/>
        <v>255795.40000000002</v>
      </c>
      <c r="W184" s="251">
        <f t="shared" si="39"/>
        <v>48601.126000000004</v>
      </c>
      <c r="X184" s="251">
        <f t="shared" si="40"/>
        <v>2862351</v>
      </c>
      <c r="Y184" s="251">
        <f t="shared" si="41"/>
        <v>0</v>
      </c>
    </row>
    <row r="185" spans="1:25" ht="26.25" customHeight="1">
      <c r="A185" s="179" t="s">
        <v>671</v>
      </c>
      <c r="B185" s="8">
        <v>1082243640</v>
      </c>
      <c r="C185" s="8" t="s">
        <v>141</v>
      </c>
      <c r="D185" s="8" t="s">
        <v>142</v>
      </c>
      <c r="E185" s="8" t="s">
        <v>143</v>
      </c>
      <c r="F185" s="8"/>
      <c r="G185" s="224" t="s">
        <v>191</v>
      </c>
      <c r="H185" s="8" t="s">
        <v>14</v>
      </c>
      <c r="I185" s="70"/>
      <c r="J185" s="8">
        <v>30</v>
      </c>
      <c r="K185" s="172">
        <v>2465868</v>
      </c>
      <c r="L185" s="171">
        <v>2557954.36</v>
      </c>
      <c r="M185" s="9">
        <f t="shared" si="52"/>
        <v>255795.43599999999</v>
      </c>
      <c r="N185" s="9">
        <f t="shared" si="53"/>
        <v>48601.132839999998</v>
      </c>
      <c r="O185" s="9">
        <f t="shared" si="54"/>
        <v>2862350.9288400002</v>
      </c>
      <c r="P185" s="9">
        <f t="shared" si="33"/>
        <v>2862351</v>
      </c>
      <c r="Q185" s="178"/>
      <c r="R185" s="205">
        <v>1300000</v>
      </c>
      <c r="S185" s="207">
        <v>1776294</v>
      </c>
      <c r="T185" s="216" t="s">
        <v>1013</v>
      </c>
      <c r="U185" s="9">
        <f t="shared" si="34"/>
        <v>2557954</v>
      </c>
      <c r="V185" s="251">
        <f t="shared" si="38"/>
        <v>255795.40000000002</v>
      </c>
      <c r="W185" s="251">
        <f t="shared" si="39"/>
        <v>48601.126000000004</v>
      </c>
      <c r="X185" s="251">
        <f t="shared" si="40"/>
        <v>2862351</v>
      </c>
      <c r="Y185" s="251">
        <f t="shared" si="41"/>
        <v>0</v>
      </c>
    </row>
    <row r="186" spans="1:25" ht="26.25" customHeight="1">
      <c r="A186" s="179" t="s">
        <v>672</v>
      </c>
      <c r="B186" s="8">
        <v>52746420</v>
      </c>
      <c r="C186" s="8" t="s">
        <v>281</v>
      </c>
      <c r="D186" s="8" t="s">
        <v>282</v>
      </c>
      <c r="E186" s="8" t="s">
        <v>283</v>
      </c>
      <c r="F186" s="8" t="s">
        <v>284</v>
      </c>
      <c r="G186" s="224" t="s">
        <v>191</v>
      </c>
      <c r="H186" s="8" t="s">
        <v>14</v>
      </c>
      <c r="I186" s="70"/>
      <c r="J186" s="8">
        <v>30</v>
      </c>
      <c r="K186" s="172">
        <v>2465868</v>
      </c>
      <c r="L186" s="171">
        <v>2557954.36</v>
      </c>
      <c r="M186" s="9">
        <f t="shared" si="52"/>
        <v>255795.43599999999</v>
      </c>
      <c r="N186" s="9">
        <f t="shared" si="53"/>
        <v>48601.132839999998</v>
      </c>
      <c r="O186" s="9">
        <f t="shared" si="54"/>
        <v>2862350.9288400002</v>
      </c>
      <c r="P186" s="9">
        <f t="shared" si="33"/>
        <v>2862351</v>
      </c>
      <c r="Q186" s="10"/>
      <c r="R186" s="206">
        <v>1300000</v>
      </c>
      <c r="S186" s="206">
        <v>1776294</v>
      </c>
      <c r="T186" s="216" t="s">
        <v>1013</v>
      </c>
      <c r="U186" s="9">
        <f t="shared" si="34"/>
        <v>2557954</v>
      </c>
      <c r="V186" s="251">
        <f t="shared" si="38"/>
        <v>255795.40000000002</v>
      </c>
      <c r="W186" s="251">
        <f t="shared" si="39"/>
        <v>48601.126000000004</v>
      </c>
      <c r="X186" s="251">
        <f t="shared" si="40"/>
        <v>2862351</v>
      </c>
      <c r="Y186" s="251">
        <f t="shared" si="41"/>
        <v>0</v>
      </c>
    </row>
    <row r="187" spans="1:25" ht="26.25" customHeight="1">
      <c r="A187" s="179" t="s">
        <v>672</v>
      </c>
      <c r="B187" s="8">
        <v>52957218</v>
      </c>
      <c r="C187" s="8" t="s">
        <v>19</v>
      </c>
      <c r="D187" s="8" t="s">
        <v>287</v>
      </c>
      <c r="E187" s="8" t="s">
        <v>288</v>
      </c>
      <c r="F187" s="8" t="s">
        <v>120</v>
      </c>
      <c r="G187" s="224" t="s">
        <v>191</v>
      </c>
      <c r="H187" s="8" t="s">
        <v>14</v>
      </c>
      <c r="I187" s="70"/>
      <c r="J187" s="8">
        <v>30</v>
      </c>
      <c r="K187" s="172">
        <v>2465868</v>
      </c>
      <c r="L187" s="171">
        <v>2557954.36</v>
      </c>
      <c r="M187" s="9">
        <f t="shared" si="52"/>
        <v>255795.43599999999</v>
      </c>
      <c r="N187" s="9">
        <f t="shared" si="53"/>
        <v>48601.132839999998</v>
      </c>
      <c r="O187" s="9">
        <f t="shared" si="54"/>
        <v>2862350.9288400002</v>
      </c>
      <c r="P187" s="9">
        <f t="shared" si="33"/>
        <v>2862351</v>
      </c>
      <c r="Q187" s="10"/>
      <c r="R187" s="206">
        <v>1300000</v>
      </c>
      <c r="S187" s="206">
        <v>1776294</v>
      </c>
      <c r="T187" s="216" t="s">
        <v>1013</v>
      </c>
      <c r="U187" s="9">
        <f t="shared" si="34"/>
        <v>2557954</v>
      </c>
      <c r="V187" s="251">
        <f t="shared" si="38"/>
        <v>255795.40000000002</v>
      </c>
      <c r="W187" s="251">
        <f t="shared" si="39"/>
        <v>48601.126000000004</v>
      </c>
      <c r="X187" s="251">
        <f t="shared" si="40"/>
        <v>2862351</v>
      </c>
      <c r="Y187" s="251">
        <f t="shared" si="41"/>
        <v>0</v>
      </c>
    </row>
    <row r="188" spans="1:25" ht="26.25" customHeight="1">
      <c r="A188" s="179" t="s">
        <v>672</v>
      </c>
      <c r="B188" s="8">
        <v>1023961022</v>
      </c>
      <c r="C188" s="8" t="s">
        <v>296</v>
      </c>
      <c r="D188" s="8" t="s">
        <v>297</v>
      </c>
      <c r="E188" s="8" t="s">
        <v>298</v>
      </c>
      <c r="F188" s="8"/>
      <c r="G188" s="224" t="s">
        <v>13</v>
      </c>
      <c r="H188" s="8" t="s">
        <v>14</v>
      </c>
      <c r="I188" s="70"/>
      <c r="J188" s="237">
        <v>28</v>
      </c>
      <c r="K188" s="172">
        <v>2465868</v>
      </c>
      <c r="L188" s="171">
        <v>2557954.36</v>
      </c>
      <c r="M188" s="9">
        <f t="shared" si="52"/>
        <v>255795.43599999999</v>
      </c>
      <c r="N188" s="9">
        <f t="shared" si="53"/>
        <v>48601.132839999998</v>
      </c>
      <c r="O188" s="9">
        <f t="shared" si="54"/>
        <v>2862350.9288400002</v>
      </c>
      <c r="P188" s="9">
        <f t="shared" si="33"/>
        <v>2671528</v>
      </c>
      <c r="Q188" s="177" t="s">
        <v>1073</v>
      </c>
      <c r="R188" s="208">
        <f>1297334+46334+46334</f>
        <v>1390002</v>
      </c>
      <c r="S188" s="206">
        <v>1780169</v>
      </c>
      <c r="T188" s="216" t="s">
        <v>1013</v>
      </c>
      <c r="U188" s="9">
        <f t="shared" si="34"/>
        <v>2387424</v>
      </c>
      <c r="V188" s="251">
        <f t="shared" si="38"/>
        <v>238742.40000000002</v>
      </c>
      <c r="W188" s="251">
        <f t="shared" si="39"/>
        <v>45361.056000000004</v>
      </c>
      <c r="X188" s="251">
        <f t="shared" si="40"/>
        <v>2671527</v>
      </c>
      <c r="Y188" s="251">
        <f t="shared" si="41"/>
        <v>-1</v>
      </c>
    </row>
    <row r="189" spans="1:25" ht="26.25" customHeight="1">
      <c r="A189" s="179" t="s">
        <v>672</v>
      </c>
      <c r="B189" s="8">
        <v>52011281</v>
      </c>
      <c r="C189" s="8" t="s">
        <v>270</v>
      </c>
      <c r="D189" s="8"/>
      <c r="E189" s="8" t="s">
        <v>754</v>
      </c>
      <c r="F189" s="8"/>
      <c r="G189" s="8" t="s">
        <v>410</v>
      </c>
      <c r="H189" s="8"/>
      <c r="I189" s="70"/>
      <c r="J189" s="237">
        <v>1</v>
      </c>
      <c r="K189" s="172">
        <v>2465868</v>
      </c>
      <c r="L189" s="171">
        <v>2557954.36</v>
      </c>
      <c r="M189" s="9">
        <f t="shared" ref="M189" si="55">+L189*10%</f>
        <v>255795.43599999999</v>
      </c>
      <c r="N189" s="9">
        <f t="shared" ref="N189" si="56">+M189*19%</f>
        <v>48601.132839999998</v>
      </c>
      <c r="O189" s="9">
        <f t="shared" ref="O189" si="57">+L189+M189+N189</f>
        <v>2862350.9288400002</v>
      </c>
      <c r="P189" s="9">
        <f t="shared" ref="P189" si="58">+ROUND(((O189/30)*J189),0)</f>
        <v>95412</v>
      </c>
      <c r="Q189" s="177" t="s">
        <v>1072</v>
      </c>
      <c r="R189" s="214">
        <v>1390000</v>
      </c>
      <c r="S189" s="213">
        <v>1440800</v>
      </c>
      <c r="T189" s="177" t="s">
        <v>960</v>
      </c>
      <c r="U189" s="9">
        <f t="shared" ref="U189" si="59">+ROUND(((L189/30)*J189),0)</f>
        <v>85265</v>
      </c>
      <c r="V189" s="251">
        <f t="shared" si="38"/>
        <v>8526.5</v>
      </c>
      <c r="W189" s="251">
        <f t="shared" si="39"/>
        <v>1620.0350000000001</v>
      </c>
      <c r="X189" s="251">
        <f t="shared" si="40"/>
        <v>95412</v>
      </c>
      <c r="Y189" s="251">
        <f t="shared" si="41"/>
        <v>0</v>
      </c>
    </row>
    <row r="190" spans="1:25" ht="26.25" customHeight="1">
      <c r="A190" s="179" t="s">
        <v>672</v>
      </c>
      <c r="B190" s="8">
        <v>1026265130</v>
      </c>
      <c r="C190" s="8" t="s">
        <v>312</v>
      </c>
      <c r="D190" s="8" t="s">
        <v>256</v>
      </c>
      <c r="E190" s="8" t="s">
        <v>315</v>
      </c>
      <c r="F190" s="8"/>
      <c r="G190" s="224" t="s">
        <v>191</v>
      </c>
      <c r="H190" s="8" t="s">
        <v>14</v>
      </c>
      <c r="I190" s="70"/>
      <c r="J190" s="8">
        <v>30</v>
      </c>
      <c r="K190" s="172">
        <v>2465868</v>
      </c>
      <c r="L190" s="171">
        <v>2557954.36</v>
      </c>
      <c r="M190" s="9">
        <f t="shared" si="52"/>
        <v>255795.43599999999</v>
      </c>
      <c r="N190" s="9">
        <f t="shared" si="53"/>
        <v>48601.132839999998</v>
      </c>
      <c r="O190" s="9">
        <f t="shared" si="54"/>
        <v>2862350.9288400002</v>
      </c>
      <c r="P190" s="9">
        <f t="shared" si="33"/>
        <v>2862351</v>
      </c>
      <c r="Q190" s="10"/>
      <c r="R190" s="206">
        <v>1300000</v>
      </c>
      <c r="S190" s="206">
        <v>1776294</v>
      </c>
      <c r="T190" s="216" t="s">
        <v>1013</v>
      </c>
      <c r="U190" s="9">
        <f t="shared" si="34"/>
        <v>2557954</v>
      </c>
      <c r="V190" s="251">
        <f t="shared" si="38"/>
        <v>255795.40000000002</v>
      </c>
      <c r="W190" s="251">
        <f t="shared" si="39"/>
        <v>48601.126000000004</v>
      </c>
      <c r="X190" s="251">
        <f t="shared" si="40"/>
        <v>2862351</v>
      </c>
      <c r="Y190" s="251">
        <f t="shared" si="41"/>
        <v>0</v>
      </c>
    </row>
    <row r="191" spans="1:25" ht="26.25" customHeight="1">
      <c r="A191" s="179" t="s">
        <v>673</v>
      </c>
      <c r="B191" s="8">
        <v>79557871</v>
      </c>
      <c r="C191" s="8" t="s">
        <v>96</v>
      </c>
      <c r="D191" s="8" t="s">
        <v>97</v>
      </c>
      <c r="E191" s="8" t="s">
        <v>98</v>
      </c>
      <c r="F191" s="8" t="s">
        <v>99</v>
      </c>
      <c r="G191" s="224" t="s">
        <v>13</v>
      </c>
      <c r="H191" s="8" t="s">
        <v>14</v>
      </c>
      <c r="I191" s="70"/>
      <c r="J191" s="8">
        <v>30</v>
      </c>
      <c r="K191" s="172">
        <v>2465868</v>
      </c>
      <c r="L191" s="171">
        <v>2557954.36</v>
      </c>
      <c r="M191" s="9">
        <f t="shared" si="52"/>
        <v>255795.43599999999</v>
      </c>
      <c r="N191" s="9">
        <f t="shared" si="53"/>
        <v>48601.132839999998</v>
      </c>
      <c r="O191" s="9">
        <f t="shared" si="54"/>
        <v>2862350.9288400002</v>
      </c>
      <c r="P191" s="9">
        <f t="shared" si="33"/>
        <v>2862351</v>
      </c>
      <c r="Q191" s="10"/>
      <c r="R191" s="205">
        <v>1390000</v>
      </c>
      <c r="S191" s="206">
        <v>1884844</v>
      </c>
      <c r="T191" s="216" t="s">
        <v>1013</v>
      </c>
      <c r="U191" s="9">
        <f t="shared" si="34"/>
        <v>2557954</v>
      </c>
      <c r="V191" s="251">
        <f t="shared" si="38"/>
        <v>255795.40000000002</v>
      </c>
      <c r="W191" s="251">
        <f t="shared" si="39"/>
        <v>48601.126000000004</v>
      </c>
      <c r="X191" s="251">
        <f t="shared" si="40"/>
        <v>2862351</v>
      </c>
      <c r="Y191" s="251">
        <f t="shared" si="41"/>
        <v>0</v>
      </c>
    </row>
    <row r="192" spans="1:25" ht="26.25" customHeight="1">
      <c r="A192" s="179" t="s">
        <v>673</v>
      </c>
      <c r="B192" s="8">
        <v>1024566216</v>
      </c>
      <c r="C192" s="8" t="s">
        <v>166</v>
      </c>
      <c r="D192" s="8" t="s">
        <v>205</v>
      </c>
      <c r="E192" s="8" t="s">
        <v>206</v>
      </c>
      <c r="F192" s="8" t="s">
        <v>207</v>
      </c>
      <c r="G192" s="224" t="s">
        <v>191</v>
      </c>
      <c r="H192" s="8" t="s">
        <v>14</v>
      </c>
      <c r="I192" s="70"/>
      <c r="J192" s="8">
        <v>30</v>
      </c>
      <c r="K192" s="172">
        <v>2465868</v>
      </c>
      <c r="L192" s="171">
        <v>2557954.36</v>
      </c>
      <c r="M192" s="9">
        <f t="shared" si="52"/>
        <v>255795.43599999999</v>
      </c>
      <c r="N192" s="9">
        <f t="shared" si="53"/>
        <v>48601.132839999998</v>
      </c>
      <c r="O192" s="9">
        <f t="shared" si="54"/>
        <v>2862350.9288400002</v>
      </c>
      <c r="P192" s="9">
        <f t="shared" si="33"/>
        <v>2862351</v>
      </c>
      <c r="Q192" s="10"/>
      <c r="R192" s="206">
        <v>1300000</v>
      </c>
      <c r="S192" s="206">
        <v>1776294</v>
      </c>
      <c r="T192" s="216" t="s">
        <v>1013</v>
      </c>
      <c r="U192" s="9">
        <f t="shared" si="34"/>
        <v>2557954</v>
      </c>
      <c r="V192" s="251">
        <f t="shared" si="38"/>
        <v>255795.40000000002</v>
      </c>
      <c r="W192" s="251">
        <f t="shared" si="39"/>
        <v>48601.126000000004</v>
      </c>
      <c r="X192" s="251">
        <f t="shared" si="40"/>
        <v>2862351</v>
      </c>
      <c r="Y192" s="251">
        <f t="shared" si="41"/>
        <v>0</v>
      </c>
    </row>
    <row r="193" spans="1:25" ht="26.25" customHeight="1">
      <c r="A193" s="179" t="s">
        <v>673</v>
      </c>
      <c r="B193" s="8">
        <v>1090447550</v>
      </c>
      <c r="C193" s="8" t="s">
        <v>355</v>
      </c>
      <c r="D193" s="8" t="s">
        <v>115</v>
      </c>
      <c r="E193" s="8" t="s">
        <v>356</v>
      </c>
      <c r="F193" s="8" t="s">
        <v>223</v>
      </c>
      <c r="G193" s="224" t="s">
        <v>191</v>
      </c>
      <c r="H193" s="8" t="s">
        <v>354</v>
      </c>
      <c r="I193" s="70"/>
      <c r="J193" s="8">
        <v>30</v>
      </c>
      <c r="K193" s="172">
        <v>2465868</v>
      </c>
      <c r="L193" s="171">
        <v>2557954.36</v>
      </c>
      <c r="M193" s="9">
        <f t="shared" si="52"/>
        <v>255795.43599999999</v>
      </c>
      <c r="N193" s="9">
        <f t="shared" si="53"/>
        <v>48601.132839999998</v>
      </c>
      <c r="O193" s="9">
        <f t="shared" si="54"/>
        <v>2862350.9288400002</v>
      </c>
      <c r="P193" s="9">
        <f t="shared" ref="P193:P205" si="60">+ROUND(((O193/30)*J193),0)</f>
        <v>2862351</v>
      </c>
      <c r="Q193" s="10"/>
      <c r="R193" s="206">
        <v>1300000</v>
      </c>
      <c r="S193" s="206">
        <v>1768172</v>
      </c>
      <c r="T193" s="216" t="s">
        <v>1016</v>
      </c>
      <c r="U193" s="9">
        <f t="shared" si="34"/>
        <v>2557954</v>
      </c>
      <c r="V193" s="251">
        <f t="shared" si="38"/>
        <v>255795.40000000002</v>
      </c>
      <c r="W193" s="251">
        <f t="shared" si="39"/>
        <v>48601.126000000004</v>
      </c>
      <c r="X193" s="251">
        <f t="shared" si="40"/>
        <v>2862351</v>
      </c>
      <c r="Y193" s="251">
        <f t="shared" si="41"/>
        <v>0</v>
      </c>
    </row>
    <row r="194" spans="1:25" ht="26.25" customHeight="1">
      <c r="A194" s="179" t="s">
        <v>674</v>
      </c>
      <c r="B194" s="8">
        <v>51970521</v>
      </c>
      <c r="C194" s="8" t="s">
        <v>94</v>
      </c>
      <c r="D194" s="8" t="s">
        <v>184</v>
      </c>
      <c r="E194" s="8" t="s">
        <v>185</v>
      </c>
      <c r="F194" s="8"/>
      <c r="G194" s="8" t="s">
        <v>191</v>
      </c>
      <c r="H194" s="8" t="s">
        <v>14</v>
      </c>
      <c r="I194" s="70"/>
      <c r="J194" s="185">
        <v>0</v>
      </c>
      <c r="K194" s="172">
        <v>2465868</v>
      </c>
      <c r="L194" s="171">
        <v>2557954.36</v>
      </c>
      <c r="M194" s="9">
        <f t="shared" si="52"/>
        <v>255795.43599999999</v>
      </c>
      <c r="N194" s="9">
        <f t="shared" si="53"/>
        <v>48601.132839999998</v>
      </c>
      <c r="O194" s="9">
        <f t="shared" si="54"/>
        <v>2862350.9288400002</v>
      </c>
      <c r="P194" s="9">
        <f t="shared" si="60"/>
        <v>0</v>
      </c>
      <c r="Q194" s="177" t="s">
        <v>1026</v>
      </c>
      <c r="R194" s="206">
        <v>1300000</v>
      </c>
      <c r="S194" s="206">
        <v>1776294</v>
      </c>
      <c r="T194" s="216" t="s">
        <v>1016</v>
      </c>
      <c r="U194" s="9">
        <f t="shared" ref="U194:U205" si="61">+ROUND(((L194/30)*J194),0)</f>
        <v>0</v>
      </c>
      <c r="V194" s="251">
        <f t="shared" si="38"/>
        <v>0</v>
      </c>
      <c r="W194" s="251">
        <f t="shared" si="39"/>
        <v>0</v>
      </c>
      <c r="X194" s="251">
        <f t="shared" si="40"/>
        <v>0</v>
      </c>
      <c r="Y194" s="251">
        <f t="shared" si="41"/>
        <v>0</v>
      </c>
    </row>
    <row r="195" spans="1:25" ht="26.25" customHeight="1">
      <c r="A195" s="179" t="s">
        <v>674</v>
      </c>
      <c r="B195" s="8">
        <v>52239435</v>
      </c>
      <c r="C195" s="8" t="s">
        <v>274</v>
      </c>
      <c r="D195" s="8" t="s">
        <v>83</v>
      </c>
      <c r="E195" s="8" t="s">
        <v>275</v>
      </c>
      <c r="F195" s="8" t="s">
        <v>276</v>
      </c>
      <c r="G195" s="224" t="s">
        <v>191</v>
      </c>
      <c r="H195" s="8" t="s">
        <v>14</v>
      </c>
      <c r="I195" s="70"/>
      <c r="J195" s="8">
        <v>30</v>
      </c>
      <c r="K195" s="172">
        <v>2465868</v>
      </c>
      <c r="L195" s="171">
        <v>2557954.36</v>
      </c>
      <c r="M195" s="9">
        <f t="shared" si="52"/>
        <v>255795.43599999999</v>
      </c>
      <c r="N195" s="9">
        <f t="shared" si="53"/>
        <v>48601.132839999998</v>
      </c>
      <c r="O195" s="9">
        <f t="shared" si="54"/>
        <v>2862350.9288400002</v>
      </c>
      <c r="P195" s="9">
        <f t="shared" si="60"/>
        <v>2862351</v>
      </c>
      <c r="Q195" s="10"/>
      <c r="R195" s="206">
        <v>1300000</v>
      </c>
      <c r="S195" s="206">
        <v>1776294</v>
      </c>
      <c r="T195" s="216" t="s">
        <v>1013</v>
      </c>
      <c r="U195" s="9">
        <f t="shared" si="61"/>
        <v>2557954</v>
      </c>
      <c r="V195" s="251">
        <f t="shared" ref="V195:V204" si="62">+U195*10%</f>
        <v>255795.40000000002</v>
      </c>
      <c r="W195" s="251">
        <f t="shared" ref="W195:W204" si="63">+V195*19%</f>
        <v>48601.126000000004</v>
      </c>
      <c r="X195" s="251">
        <f t="shared" ref="X195:X204" si="64">+ROUND((U195+V195+W195),0)</f>
        <v>2862351</v>
      </c>
      <c r="Y195" s="251">
        <f t="shared" ref="Y195:Y204" si="65">+X195-P195</f>
        <v>0</v>
      </c>
    </row>
    <row r="196" spans="1:25" ht="26.25" customHeight="1">
      <c r="A196" s="179" t="s">
        <v>674</v>
      </c>
      <c r="B196" s="8">
        <v>1033741958</v>
      </c>
      <c r="C196" s="8" t="s">
        <v>28</v>
      </c>
      <c r="D196" s="8" t="s">
        <v>29</v>
      </c>
      <c r="E196" s="8" t="s">
        <v>30</v>
      </c>
      <c r="F196" s="8" t="s">
        <v>31</v>
      </c>
      <c r="G196" s="224" t="s">
        <v>191</v>
      </c>
      <c r="H196" s="8" t="s">
        <v>14</v>
      </c>
      <c r="I196" s="70"/>
      <c r="J196" s="8">
        <v>30</v>
      </c>
      <c r="K196" s="172">
        <v>2465868</v>
      </c>
      <c r="L196" s="171">
        <v>2557954.36</v>
      </c>
      <c r="M196" s="9">
        <f t="shared" si="52"/>
        <v>255795.43599999999</v>
      </c>
      <c r="N196" s="9">
        <f t="shared" si="53"/>
        <v>48601.132839999998</v>
      </c>
      <c r="O196" s="9">
        <f t="shared" si="54"/>
        <v>2862350.9288400002</v>
      </c>
      <c r="P196" s="9">
        <f t="shared" si="60"/>
        <v>2862351</v>
      </c>
      <c r="Q196" s="10"/>
      <c r="R196" s="206">
        <v>1300000</v>
      </c>
      <c r="S196" s="206">
        <v>1776294</v>
      </c>
      <c r="T196" s="216" t="s">
        <v>1013</v>
      </c>
      <c r="U196" s="9">
        <f t="shared" si="61"/>
        <v>2557954</v>
      </c>
      <c r="V196" s="251">
        <f t="shared" si="62"/>
        <v>255795.40000000002</v>
      </c>
      <c r="W196" s="251">
        <f t="shared" si="63"/>
        <v>48601.126000000004</v>
      </c>
      <c r="X196" s="251">
        <f t="shared" si="64"/>
        <v>2862351</v>
      </c>
      <c r="Y196" s="251">
        <f t="shared" si="65"/>
        <v>0</v>
      </c>
    </row>
    <row r="197" spans="1:25" ht="26.25" customHeight="1">
      <c r="A197" s="179" t="s">
        <v>675</v>
      </c>
      <c r="B197" s="8">
        <v>80257964</v>
      </c>
      <c r="C197" s="8" t="s">
        <v>35</v>
      </c>
      <c r="D197" s="8" t="s">
        <v>104</v>
      </c>
      <c r="E197" s="8" t="s">
        <v>226</v>
      </c>
      <c r="F197" s="8" t="s">
        <v>323</v>
      </c>
      <c r="G197" s="224" t="s">
        <v>13</v>
      </c>
      <c r="H197" s="70">
        <v>45439</v>
      </c>
      <c r="I197" s="70"/>
      <c r="J197" s="8">
        <v>30</v>
      </c>
      <c r="K197" s="172">
        <v>2465868</v>
      </c>
      <c r="L197" s="171">
        <v>2557954.36</v>
      </c>
      <c r="M197" s="9">
        <f t="shared" si="52"/>
        <v>255795.43599999999</v>
      </c>
      <c r="N197" s="9">
        <f t="shared" si="53"/>
        <v>48601.132839999998</v>
      </c>
      <c r="O197" s="9">
        <f t="shared" si="54"/>
        <v>2862350.9288400002</v>
      </c>
      <c r="P197" s="9">
        <f t="shared" si="60"/>
        <v>2862351</v>
      </c>
      <c r="Q197" s="178"/>
      <c r="R197" s="207">
        <v>1390000</v>
      </c>
      <c r="S197" s="207">
        <v>1587378</v>
      </c>
      <c r="T197" s="216" t="s">
        <v>1016</v>
      </c>
      <c r="U197" s="9">
        <f t="shared" si="61"/>
        <v>2557954</v>
      </c>
      <c r="V197" s="251">
        <f t="shared" si="62"/>
        <v>255795.40000000002</v>
      </c>
      <c r="W197" s="251">
        <f t="shared" si="63"/>
        <v>48601.126000000004</v>
      </c>
      <c r="X197" s="251">
        <f t="shared" si="64"/>
        <v>2862351</v>
      </c>
      <c r="Y197" s="251">
        <f t="shared" si="65"/>
        <v>0</v>
      </c>
    </row>
    <row r="198" spans="1:25" ht="26.25" customHeight="1">
      <c r="A198" s="179" t="s">
        <v>675</v>
      </c>
      <c r="B198" s="8">
        <v>1007725189</v>
      </c>
      <c r="C198" s="8" t="s">
        <v>114</v>
      </c>
      <c r="D198" s="8" t="s">
        <v>370</v>
      </c>
      <c r="E198" s="8" t="s">
        <v>371</v>
      </c>
      <c r="F198" s="8" t="s">
        <v>146</v>
      </c>
      <c r="G198" s="224" t="s">
        <v>191</v>
      </c>
      <c r="H198" s="8" t="s">
        <v>354</v>
      </c>
      <c r="I198" s="70"/>
      <c r="J198" s="8">
        <v>30</v>
      </c>
      <c r="K198" s="172">
        <v>2465868</v>
      </c>
      <c r="L198" s="171">
        <v>2557954.36</v>
      </c>
      <c r="M198" s="9">
        <f t="shared" si="52"/>
        <v>255795.43599999999</v>
      </c>
      <c r="N198" s="9">
        <f t="shared" si="53"/>
        <v>48601.132839999998</v>
      </c>
      <c r="O198" s="9">
        <f t="shared" si="54"/>
        <v>2862350.9288400002</v>
      </c>
      <c r="P198" s="9">
        <f t="shared" si="60"/>
        <v>2862351</v>
      </c>
      <c r="Q198" s="10"/>
      <c r="R198" s="206">
        <v>1300000</v>
      </c>
      <c r="S198" s="206">
        <v>1768172</v>
      </c>
      <c r="T198" s="216" t="s">
        <v>1015</v>
      </c>
      <c r="U198" s="9">
        <f t="shared" si="61"/>
        <v>2557954</v>
      </c>
      <c r="V198" s="251">
        <f t="shared" si="62"/>
        <v>255795.40000000002</v>
      </c>
      <c r="W198" s="251">
        <f t="shared" si="63"/>
        <v>48601.126000000004</v>
      </c>
      <c r="X198" s="251">
        <f t="shared" si="64"/>
        <v>2862351</v>
      </c>
      <c r="Y198" s="251">
        <f t="shared" si="65"/>
        <v>0</v>
      </c>
    </row>
    <row r="199" spans="1:25" ht="26.25" customHeight="1">
      <c r="A199" s="179" t="s">
        <v>675</v>
      </c>
      <c r="B199" s="8">
        <v>1013657628</v>
      </c>
      <c r="C199" s="8" t="s">
        <v>168</v>
      </c>
      <c r="D199" s="8" t="s">
        <v>171</v>
      </c>
      <c r="E199" s="8" t="s">
        <v>172</v>
      </c>
      <c r="F199" s="8"/>
      <c r="G199" s="224" t="s">
        <v>191</v>
      </c>
      <c r="H199" s="8" t="s">
        <v>14</v>
      </c>
      <c r="I199" s="70"/>
      <c r="J199" s="8">
        <v>30</v>
      </c>
      <c r="K199" s="172">
        <v>2465868</v>
      </c>
      <c r="L199" s="171">
        <v>2557954.36</v>
      </c>
      <c r="M199" s="9">
        <f t="shared" ref="M199:M204" si="66">+L199*10%</f>
        <v>255795.43599999999</v>
      </c>
      <c r="N199" s="9">
        <f t="shared" ref="N199:N204" si="67">+M199*19%</f>
        <v>48601.132839999998</v>
      </c>
      <c r="O199" s="9">
        <f t="shared" ref="O199:O204" si="68">+L199+M199+N199</f>
        <v>2862350.9288400002</v>
      </c>
      <c r="P199" s="9">
        <f t="shared" si="60"/>
        <v>2862351</v>
      </c>
      <c r="Q199" s="10"/>
      <c r="R199" s="206">
        <v>1300000</v>
      </c>
      <c r="S199" s="206">
        <v>1776294</v>
      </c>
      <c r="T199" s="216" t="s">
        <v>1013</v>
      </c>
      <c r="U199" s="9">
        <f t="shared" si="61"/>
        <v>2557954</v>
      </c>
      <c r="V199" s="251">
        <f t="shared" si="62"/>
        <v>255795.40000000002</v>
      </c>
      <c r="W199" s="251">
        <f t="shared" si="63"/>
        <v>48601.126000000004</v>
      </c>
      <c r="X199" s="251">
        <f t="shared" si="64"/>
        <v>2862351</v>
      </c>
      <c r="Y199" s="251">
        <f t="shared" si="65"/>
        <v>0</v>
      </c>
    </row>
    <row r="200" spans="1:25" ht="26.25" customHeight="1">
      <c r="A200" s="179" t="s">
        <v>675</v>
      </c>
      <c r="B200" s="8">
        <v>5026864</v>
      </c>
      <c r="C200" s="8" t="s">
        <v>80</v>
      </c>
      <c r="D200" s="8" t="s">
        <v>81</v>
      </c>
      <c r="E200" s="8" t="s">
        <v>82</v>
      </c>
      <c r="F200" s="8"/>
      <c r="G200" s="224" t="s">
        <v>191</v>
      </c>
      <c r="H200" s="8" t="s">
        <v>14</v>
      </c>
      <c r="I200" s="70"/>
      <c r="J200" s="237">
        <v>28</v>
      </c>
      <c r="K200" s="172">
        <v>2465868</v>
      </c>
      <c r="L200" s="171">
        <v>2557954.36</v>
      </c>
      <c r="M200" s="9">
        <f>+L200*10%</f>
        <v>255795.43599999999</v>
      </c>
      <c r="N200" s="9">
        <f>+M200*19%</f>
        <v>48601.132839999998</v>
      </c>
      <c r="O200" s="9">
        <f>+L200+M200+N200</f>
        <v>2862350.9288400002</v>
      </c>
      <c r="P200" s="9">
        <f>+ROUND(((O200/30)*J200),0)</f>
        <v>2671528</v>
      </c>
      <c r="Q200" s="177" t="s">
        <v>1074</v>
      </c>
      <c r="R200" s="208">
        <f>1213334+86667</f>
        <v>1300001</v>
      </c>
      <c r="S200" s="206">
        <v>1677639</v>
      </c>
      <c r="T200" s="216" t="s">
        <v>1016</v>
      </c>
      <c r="U200" s="9">
        <f>+ROUND(((L200/30)*J200),0)</f>
        <v>2387424</v>
      </c>
      <c r="V200" s="251">
        <f t="shared" si="62"/>
        <v>238742.40000000002</v>
      </c>
      <c r="W200" s="251">
        <f t="shared" si="63"/>
        <v>45361.056000000004</v>
      </c>
      <c r="X200" s="251">
        <f t="shared" si="64"/>
        <v>2671527</v>
      </c>
      <c r="Y200" s="251">
        <f t="shared" si="65"/>
        <v>-1</v>
      </c>
    </row>
    <row r="201" spans="1:25" ht="26.25" customHeight="1">
      <c r="A201" s="179" t="s">
        <v>676</v>
      </c>
      <c r="B201" s="8">
        <v>34951119</v>
      </c>
      <c r="C201" s="8" t="s">
        <v>100</v>
      </c>
      <c r="D201" s="8" t="s">
        <v>101</v>
      </c>
      <c r="E201" s="8" t="s">
        <v>102</v>
      </c>
      <c r="F201" s="8" t="s">
        <v>103</v>
      </c>
      <c r="G201" s="224" t="s">
        <v>191</v>
      </c>
      <c r="H201" s="8" t="s">
        <v>14</v>
      </c>
      <c r="I201" s="70"/>
      <c r="J201" s="8">
        <v>30</v>
      </c>
      <c r="K201" s="172">
        <v>2465868</v>
      </c>
      <c r="L201" s="171">
        <v>2557954.36</v>
      </c>
      <c r="M201" s="9">
        <f t="shared" si="66"/>
        <v>255795.43599999999</v>
      </c>
      <c r="N201" s="9">
        <f t="shared" si="67"/>
        <v>48601.132839999998</v>
      </c>
      <c r="O201" s="9">
        <f t="shared" si="68"/>
        <v>2862350.9288400002</v>
      </c>
      <c r="P201" s="9">
        <f t="shared" si="60"/>
        <v>2862351</v>
      </c>
      <c r="Q201" s="10"/>
      <c r="R201" s="206">
        <v>1300000</v>
      </c>
      <c r="S201" s="206">
        <v>1776294</v>
      </c>
      <c r="T201" s="216" t="s">
        <v>1016</v>
      </c>
      <c r="U201" s="9">
        <f t="shared" si="61"/>
        <v>2557954</v>
      </c>
      <c r="V201" s="251">
        <f t="shared" si="62"/>
        <v>255795.40000000002</v>
      </c>
      <c r="W201" s="251">
        <f t="shared" si="63"/>
        <v>48601.126000000004</v>
      </c>
      <c r="X201" s="251">
        <f t="shared" si="64"/>
        <v>2862351</v>
      </c>
      <c r="Y201" s="251">
        <f t="shared" si="65"/>
        <v>0</v>
      </c>
    </row>
    <row r="202" spans="1:25" ht="26.25" customHeight="1">
      <c r="A202" s="179" t="s">
        <v>676</v>
      </c>
      <c r="B202" s="8">
        <v>52897266</v>
      </c>
      <c r="C202" s="8" t="s">
        <v>69</v>
      </c>
      <c r="D202" s="8" t="s">
        <v>73</v>
      </c>
      <c r="E202" s="8" t="s">
        <v>74</v>
      </c>
      <c r="F202" s="8" t="s">
        <v>75</v>
      </c>
      <c r="G202" s="224" t="s">
        <v>191</v>
      </c>
      <c r="H202" s="8" t="s">
        <v>14</v>
      </c>
      <c r="I202" s="70"/>
      <c r="J202" s="8">
        <v>30</v>
      </c>
      <c r="K202" s="172">
        <v>2465868</v>
      </c>
      <c r="L202" s="171">
        <v>2557954.36</v>
      </c>
      <c r="M202" s="9">
        <f t="shared" si="66"/>
        <v>255795.43599999999</v>
      </c>
      <c r="N202" s="9">
        <f t="shared" si="67"/>
        <v>48601.132839999998</v>
      </c>
      <c r="O202" s="9">
        <f t="shared" si="68"/>
        <v>2862350.9288400002</v>
      </c>
      <c r="P202" s="9">
        <f t="shared" si="60"/>
        <v>2862351</v>
      </c>
      <c r="Q202" s="10"/>
      <c r="R202" s="206">
        <v>1300000</v>
      </c>
      <c r="S202" s="206">
        <v>1776294</v>
      </c>
      <c r="T202" s="216" t="s">
        <v>1013</v>
      </c>
      <c r="U202" s="9">
        <f t="shared" si="61"/>
        <v>2557954</v>
      </c>
      <c r="V202" s="251">
        <f t="shared" si="62"/>
        <v>255795.40000000002</v>
      </c>
      <c r="W202" s="251">
        <f t="shared" si="63"/>
        <v>48601.126000000004</v>
      </c>
      <c r="X202" s="251">
        <f t="shared" si="64"/>
        <v>2862351</v>
      </c>
      <c r="Y202" s="251">
        <f t="shared" si="65"/>
        <v>0</v>
      </c>
    </row>
    <row r="203" spans="1:25" ht="26.25" customHeight="1">
      <c r="A203" s="179" t="s">
        <v>677</v>
      </c>
      <c r="B203" s="8">
        <v>52759800</v>
      </c>
      <c r="C203" s="8" t="s">
        <v>100</v>
      </c>
      <c r="D203" s="8" t="s">
        <v>104</v>
      </c>
      <c r="E203" s="8" t="s">
        <v>105</v>
      </c>
      <c r="F203" s="8" t="s">
        <v>106</v>
      </c>
      <c r="G203" s="224" t="s">
        <v>191</v>
      </c>
      <c r="H203" s="8" t="s">
        <v>14</v>
      </c>
      <c r="I203" s="70"/>
      <c r="J203" s="8">
        <v>30</v>
      </c>
      <c r="K203" s="172">
        <v>2465868</v>
      </c>
      <c r="L203" s="171">
        <v>2557954.36</v>
      </c>
      <c r="M203" s="9">
        <f t="shared" si="66"/>
        <v>255795.43599999999</v>
      </c>
      <c r="N203" s="9">
        <f t="shared" si="67"/>
        <v>48601.132839999998</v>
      </c>
      <c r="O203" s="9">
        <f t="shared" si="68"/>
        <v>2862350.9288400002</v>
      </c>
      <c r="P203" s="9">
        <f t="shared" si="60"/>
        <v>2862351</v>
      </c>
      <c r="Q203" s="10"/>
      <c r="R203" s="206">
        <v>1300000</v>
      </c>
      <c r="S203" s="206">
        <v>1776294</v>
      </c>
      <c r="T203" s="216" t="s">
        <v>1013</v>
      </c>
      <c r="U203" s="9">
        <f t="shared" si="61"/>
        <v>2557954</v>
      </c>
      <c r="V203" s="251">
        <f t="shared" si="62"/>
        <v>255795.40000000002</v>
      </c>
      <c r="W203" s="251">
        <f t="shared" si="63"/>
        <v>48601.126000000004</v>
      </c>
      <c r="X203" s="251">
        <f t="shared" si="64"/>
        <v>2862351</v>
      </c>
      <c r="Y203" s="251">
        <f t="shared" si="65"/>
        <v>0</v>
      </c>
    </row>
    <row r="204" spans="1:25" ht="26.25" customHeight="1">
      <c r="A204" s="179" t="s">
        <v>677</v>
      </c>
      <c r="B204" s="8">
        <v>1002230033</v>
      </c>
      <c r="C204" s="8" t="s">
        <v>188</v>
      </c>
      <c r="D204" s="8" t="s">
        <v>189</v>
      </c>
      <c r="E204" s="8" t="s">
        <v>190</v>
      </c>
      <c r="F204" s="8"/>
      <c r="G204" s="224" t="s">
        <v>191</v>
      </c>
      <c r="H204" s="8" t="s">
        <v>14</v>
      </c>
      <c r="I204" s="70"/>
      <c r="J204" s="8">
        <v>30</v>
      </c>
      <c r="K204" s="172">
        <v>2465868</v>
      </c>
      <c r="L204" s="171">
        <v>2557954.36</v>
      </c>
      <c r="M204" s="9">
        <f t="shared" si="66"/>
        <v>255795.43599999999</v>
      </c>
      <c r="N204" s="9">
        <f t="shared" si="67"/>
        <v>48601.132839999998</v>
      </c>
      <c r="O204" s="9">
        <f t="shared" si="68"/>
        <v>2862350.9288400002</v>
      </c>
      <c r="P204" s="9">
        <f t="shared" si="60"/>
        <v>2862351</v>
      </c>
      <c r="Q204" s="10"/>
      <c r="R204" s="206">
        <v>1300000</v>
      </c>
      <c r="S204" s="206">
        <v>1771795</v>
      </c>
      <c r="T204" s="216" t="s">
        <v>1013</v>
      </c>
      <c r="U204" s="9">
        <f t="shared" si="61"/>
        <v>2557954</v>
      </c>
      <c r="V204" s="251">
        <f t="shared" si="62"/>
        <v>255795.40000000002</v>
      </c>
      <c r="W204" s="251">
        <f t="shared" si="63"/>
        <v>48601.126000000004</v>
      </c>
      <c r="X204" s="251">
        <f t="shared" si="64"/>
        <v>2862351</v>
      </c>
      <c r="Y204" s="251">
        <f t="shared" si="65"/>
        <v>0</v>
      </c>
    </row>
    <row r="205" spans="1:25" ht="26.25" customHeight="1">
      <c r="A205" s="179"/>
      <c r="B205" s="8">
        <v>79670360</v>
      </c>
      <c r="C205" s="8" t="s">
        <v>963</v>
      </c>
      <c r="D205" s="8" t="s">
        <v>212</v>
      </c>
      <c r="E205" s="8" t="s">
        <v>964</v>
      </c>
      <c r="F205" s="8" t="s">
        <v>965</v>
      </c>
      <c r="G205" s="8"/>
      <c r="H205" s="8"/>
      <c r="I205" s="70"/>
      <c r="J205" s="8"/>
      <c r="K205" s="172"/>
      <c r="L205" s="171"/>
      <c r="M205" s="9"/>
      <c r="N205" s="9"/>
      <c r="O205" s="9"/>
      <c r="P205" s="9">
        <f t="shared" si="60"/>
        <v>0</v>
      </c>
      <c r="Q205" s="200" t="s">
        <v>1005</v>
      </c>
      <c r="R205" s="211">
        <f>1161001+185334</f>
        <v>1346335</v>
      </c>
      <c r="S205" s="206">
        <v>1645784</v>
      </c>
      <c r="T205" s="216" t="s">
        <v>1013</v>
      </c>
      <c r="U205" s="9">
        <f t="shared" si="61"/>
        <v>0</v>
      </c>
      <c r="V205" s="251"/>
      <c r="W205" s="251"/>
      <c r="X205" s="251"/>
      <c r="Y205" s="251"/>
    </row>
    <row r="206" spans="1:25" ht="26.25" customHeight="1">
      <c r="A206" s="210"/>
      <c r="B206" s="8">
        <v>72046791</v>
      </c>
      <c r="C206" s="8" t="s">
        <v>114</v>
      </c>
      <c r="D206" s="8" t="s">
        <v>999</v>
      </c>
      <c r="E206" s="8" t="s">
        <v>1000</v>
      </c>
      <c r="F206" s="8" t="s">
        <v>175</v>
      </c>
      <c r="G206" s="185"/>
      <c r="H206" s="185"/>
      <c r="I206" s="203"/>
      <c r="J206" s="185"/>
      <c r="K206" s="172"/>
      <c r="L206" s="171"/>
      <c r="M206" s="9"/>
      <c r="N206" s="9"/>
      <c r="O206" s="9"/>
      <c r="P206" s="9"/>
      <c r="Q206" s="200" t="s">
        <v>1001</v>
      </c>
      <c r="R206" s="211">
        <v>1112000</v>
      </c>
      <c r="S206" s="206">
        <v>1256107</v>
      </c>
      <c r="T206" s="220" t="s">
        <v>1016</v>
      </c>
      <c r="U206" s="9"/>
      <c r="V206" s="194"/>
      <c r="W206" s="194"/>
      <c r="X206" s="194"/>
      <c r="Y206" s="194"/>
    </row>
    <row r="207" spans="1:25" ht="26.25" customHeight="1">
      <c r="A207" s="210"/>
      <c r="B207" s="8">
        <v>52316756</v>
      </c>
      <c r="C207" s="8" t="s">
        <v>35</v>
      </c>
      <c r="D207" s="8" t="s">
        <v>741</v>
      </c>
      <c r="E207" s="8" t="s">
        <v>288</v>
      </c>
      <c r="F207" s="8"/>
      <c r="G207" s="185"/>
      <c r="H207" s="185"/>
      <c r="I207" s="203"/>
      <c r="J207" s="185"/>
      <c r="K207" s="172"/>
      <c r="L207" s="171"/>
      <c r="M207" s="9"/>
      <c r="N207" s="9"/>
      <c r="O207" s="9"/>
      <c r="P207" s="9"/>
      <c r="Q207" s="200" t="s">
        <v>1003</v>
      </c>
      <c r="R207" s="211">
        <v>1300000</v>
      </c>
      <c r="S207" s="206">
        <v>1713578</v>
      </c>
      <c r="T207" s="216" t="s">
        <v>1013</v>
      </c>
      <c r="U207" s="9"/>
      <c r="V207" s="194"/>
      <c r="W207" s="194"/>
      <c r="X207" s="194"/>
      <c r="Y207" s="194"/>
    </row>
    <row r="208" spans="1:25" ht="26.25" customHeight="1">
      <c r="A208" s="210"/>
      <c r="B208" s="8">
        <v>1070982388</v>
      </c>
      <c r="C208" s="8" t="s">
        <v>1020</v>
      </c>
      <c r="D208" s="8" t="s">
        <v>257</v>
      </c>
      <c r="E208" s="8" t="s">
        <v>1021</v>
      </c>
      <c r="F208" s="8" t="s">
        <v>124</v>
      </c>
      <c r="G208" s="185"/>
      <c r="H208" s="185"/>
      <c r="I208" s="203"/>
      <c r="J208" s="185"/>
      <c r="K208" s="172"/>
      <c r="L208" s="171"/>
      <c r="M208" s="9"/>
      <c r="N208" s="9"/>
      <c r="O208" s="9"/>
      <c r="P208" s="9"/>
      <c r="Q208" s="200" t="s">
        <v>1004</v>
      </c>
      <c r="R208" s="211">
        <v>1400000</v>
      </c>
      <c r="S208" s="206">
        <v>1971961</v>
      </c>
      <c r="T208" s="220" t="s">
        <v>1016</v>
      </c>
      <c r="U208" s="9"/>
      <c r="V208" s="194"/>
      <c r="W208" s="194"/>
      <c r="X208" s="194"/>
      <c r="Y208" s="194"/>
    </row>
    <row r="209" spans="1:25" ht="26.25" customHeight="1">
      <c r="A209" s="210"/>
      <c r="B209" s="8">
        <v>1013583198</v>
      </c>
      <c r="C209" s="8" t="s">
        <v>373</v>
      </c>
      <c r="D209" s="8" t="s">
        <v>94</v>
      </c>
      <c r="E209" s="8" t="s">
        <v>740</v>
      </c>
      <c r="F209" s="8" t="s">
        <v>265</v>
      </c>
      <c r="G209" s="185"/>
      <c r="H209" s="185"/>
      <c r="I209" s="203"/>
      <c r="J209" s="185"/>
      <c r="K209" s="172"/>
      <c r="L209" s="171"/>
      <c r="M209" s="9"/>
      <c r="N209" s="9"/>
      <c r="O209" s="9"/>
      <c r="P209" s="9"/>
      <c r="Q209" s="200" t="s">
        <v>1003</v>
      </c>
      <c r="R209" s="211">
        <v>1300000</v>
      </c>
      <c r="S209" s="206">
        <v>1714478</v>
      </c>
      <c r="T209" s="220" t="s">
        <v>961</v>
      </c>
      <c r="U209" s="9"/>
      <c r="V209" s="194"/>
      <c r="W209" s="194"/>
      <c r="X209" s="194"/>
      <c r="Y209" s="194"/>
    </row>
    <row r="210" spans="1:25" ht="24" customHeight="1">
      <c r="A210" s="275" t="s">
        <v>694</v>
      </c>
      <c r="B210" s="275"/>
      <c r="C210" s="275"/>
      <c r="D210" s="275"/>
      <c r="E210" s="275"/>
      <c r="F210" s="275"/>
      <c r="G210" s="275"/>
      <c r="H210" s="275"/>
      <c r="I210" s="275"/>
      <c r="J210" s="275"/>
      <c r="K210" s="275"/>
      <c r="L210" s="275"/>
      <c r="M210" s="275"/>
      <c r="N210" s="275"/>
      <c r="O210" s="275"/>
      <c r="P210" s="170">
        <f>SUM(P2:P205)</f>
        <v>516845181</v>
      </c>
      <c r="Q210" s="173"/>
      <c r="R210" s="173"/>
      <c r="S210" s="183"/>
      <c r="T210" s="190"/>
      <c r="U210" s="246">
        <f>SUM(U2:U205)</f>
        <v>461881236</v>
      </c>
      <c r="V210" s="170">
        <f t="shared" ref="V210:Y210" si="69">SUM(V2:V205)</f>
        <v>46188123.599999852</v>
      </c>
      <c r="W210" s="170">
        <f t="shared" si="69"/>
        <v>8775743.4840000179</v>
      </c>
      <c r="X210" s="170">
        <f t="shared" si="69"/>
        <v>516845172</v>
      </c>
      <c r="Y210" s="252">
        <f t="shared" si="69"/>
        <v>-9</v>
      </c>
    </row>
    <row r="211" spans="1:25" ht="24" customHeight="1">
      <c r="B211" s="187"/>
      <c r="S211" s="188"/>
      <c r="T211" s="189"/>
      <c r="U211" s="247"/>
      <c r="V211" s="248"/>
      <c r="W211" s="248"/>
    </row>
    <row r="212" spans="1:25" ht="24" customHeight="1">
      <c r="B212" s="187"/>
      <c r="S212" s="188"/>
      <c r="T212" s="189"/>
      <c r="U212" s="247">
        <v>60258241.153316446</v>
      </c>
      <c r="V212" s="248">
        <f>+U212*10%</f>
        <v>6025824.1153316451</v>
      </c>
      <c r="W212" s="248">
        <f>+V212*19%</f>
        <v>1144906.5819130125</v>
      </c>
      <c r="X212" s="88">
        <f>+U212+V212+W212</f>
        <v>67428971.850561097</v>
      </c>
    </row>
    <row r="213" spans="1:25" ht="24" customHeight="1">
      <c r="B213" s="187"/>
      <c r="S213" s="188"/>
      <c r="T213" s="189"/>
      <c r="U213" s="249">
        <f>+U210+U212</f>
        <v>522139477.15331644</v>
      </c>
      <c r="V213" s="249">
        <f t="shared" ref="V213:W213" si="70">+V210+V212</f>
        <v>52213947.715331495</v>
      </c>
      <c r="W213" s="249">
        <f t="shared" si="70"/>
        <v>9920650.0659130309</v>
      </c>
      <c r="X213" s="88">
        <f>+X210+X212</f>
        <v>584274143.85056114</v>
      </c>
    </row>
    <row r="214" spans="1:25" ht="24" customHeight="1">
      <c r="B214" s="187"/>
      <c r="S214" s="188"/>
      <c r="T214" s="189"/>
      <c r="U214" s="250"/>
      <c r="V214" s="248"/>
      <c r="W214" s="248"/>
    </row>
    <row r="215" spans="1:25">
      <c r="B215" s="187"/>
      <c r="S215" s="188"/>
      <c r="T215" s="189"/>
    </row>
    <row r="216" spans="1:25">
      <c r="B216" s="212" t="s">
        <v>0</v>
      </c>
      <c r="C216" s="212" t="s">
        <v>1027</v>
      </c>
    </row>
    <row r="217" spans="1:25">
      <c r="B217" s="231" t="s">
        <v>947</v>
      </c>
      <c r="C217" s="232">
        <f>+U2+U74+U4+U5+U6+U7+U8+U9+U10+U11+U12+U13+U14+U15+U16+U17+U18+U19+U20+U21+U22+U23+U24+U25+U26+U27+U28+U29+U61+U31+U32+U33+U34+U35+U36+U37+U38+U39+U40+U41+U42+U43+U44+U45+U46+U47+U60+U48+U49+U50+U51+U52</f>
        <v>121076493</v>
      </c>
      <c r="G217" s="232">
        <f>+C217*10%</f>
        <v>12107649.300000001</v>
      </c>
      <c r="U217" s="232">
        <f>+G217*19%</f>
        <v>2300453.3670000001</v>
      </c>
      <c r="V217" s="232">
        <f>+C217+G217+U217</f>
        <v>135484595.667</v>
      </c>
    </row>
    <row r="218" spans="1:25">
      <c r="B218" s="231" t="s">
        <v>948</v>
      </c>
      <c r="C218" s="232">
        <f>+U53+U54+U55+U56+U57+U58+U59+U30+U62+U63+U64+U65+U66+U67+U68</f>
        <v>37516660</v>
      </c>
      <c r="G218" s="232">
        <f t="shared" ref="G218:G241" si="71">+C218*10%</f>
        <v>3751666</v>
      </c>
      <c r="U218" s="232">
        <f t="shared" ref="U218:U241" si="72">+G218*19%</f>
        <v>712816.54</v>
      </c>
      <c r="V218" s="232">
        <f t="shared" ref="V218:V241" si="73">+C218+G218+U218</f>
        <v>41981142.539999999</v>
      </c>
    </row>
    <row r="219" spans="1:25">
      <c r="B219" s="231" t="s">
        <v>949</v>
      </c>
      <c r="C219" s="232">
        <f>+U69+U70+U71+U72+U73</f>
        <v>12704505</v>
      </c>
      <c r="G219" s="232">
        <f t="shared" si="71"/>
        <v>1270450.5</v>
      </c>
      <c r="S219" s="191"/>
      <c r="U219" s="232">
        <f t="shared" si="72"/>
        <v>241385.595</v>
      </c>
      <c r="V219" s="232">
        <f t="shared" si="73"/>
        <v>14216341.095000001</v>
      </c>
    </row>
    <row r="220" spans="1:25">
      <c r="B220" s="231" t="s">
        <v>950</v>
      </c>
      <c r="C220" s="232">
        <f>+U3+U75</f>
        <v>5115908</v>
      </c>
      <c r="G220" s="232">
        <f t="shared" si="71"/>
        <v>511590.80000000005</v>
      </c>
      <c r="S220" s="191"/>
      <c r="U220" s="232">
        <f t="shared" si="72"/>
        <v>97202.252000000008</v>
      </c>
      <c r="V220" s="232">
        <f t="shared" si="73"/>
        <v>5724701.0520000001</v>
      </c>
    </row>
    <row r="221" spans="1:25">
      <c r="B221" s="231" t="s">
        <v>951</v>
      </c>
      <c r="C221" s="232">
        <f>+U76+U77+U78+U79+U80+U81+U82+U83+U84+U85+U86+U87+U89</f>
        <v>30354388</v>
      </c>
      <c r="G221" s="232">
        <f t="shared" si="71"/>
        <v>3035438.8000000003</v>
      </c>
      <c r="U221" s="232">
        <f t="shared" si="72"/>
        <v>576733.37200000009</v>
      </c>
      <c r="V221" s="232">
        <f t="shared" si="73"/>
        <v>33966560.171999998</v>
      </c>
    </row>
    <row r="222" spans="1:25">
      <c r="B222" s="231" t="s">
        <v>952</v>
      </c>
      <c r="C222" s="232">
        <f>+U90+U91+U92+U93+U94+U95+U96+U97+U98+U99+U100+U101+U102+U103</f>
        <v>24385828</v>
      </c>
      <c r="G222" s="232">
        <f t="shared" si="71"/>
        <v>2438582.8000000003</v>
      </c>
      <c r="U222" s="232">
        <f t="shared" si="72"/>
        <v>463330.73200000008</v>
      </c>
      <c r="V222" s="232">
        <f t="shared" si="73"/>
        <v>27287741.532000002</v>
      </c>
    </row>
    <row r="223" spans="1:25">
      <c r="B223" s="231" t="s">
        <v>953</v>
      </c>
      <c r="C223" s="232">
        <f>+U104+U105+U106+U107+U108+U109+U110+U111+U112+U113</f>
        <v>20293102</v>
      </c>
      <c r="G223" s="232">
        <f t="shared" si="71"/>
        <v>2029310.2000000002</v>
      </c>
      <c r="S223" s="191"/>
      <c r="U223" s="232">
        <f t="shared" si="72"/>
        <v>385568.93800000002</v>
      </c>
      <c r="V223" s="232">
        <f t="shared" si="73"/>
        <v>22707981.138</v>
      </c>
    </row>
    <row r="224" spans="1:25">
      <c r="B224" s="231" t="s">
        <v>954</v>
      </c>
      <c r="C224" s="232">
        <f>+U114+U115+U116+U117+U118</f>
        <v>12789770</v>
      </c>
      <c r="G224" s="232">
        <f t="shared" si="71"/>
        <v>1278977</v>
      </c>
      <c r="S224" s="191"/>
      <c r="U224" s="232">
        <f t="shared" si="72"/>
        <v>243005.63</v>
      </c>
      <c r="V224" s="232">
        <f t="shared" si="73"/>
        <v>14311752.630000001</v>
      </c>
    </row>
    <row r="225" spans="2:22">
      <c r="B225" s="231" t="s">
        <v>955</v>
      </c>
      <c r="C225" s="232">
        <f>+U119+U120+U121+U122+U123+U124+U125+U126</f>
        <v>20463632</v>
      </c>
      <c r="G225" s="232">
        <f t="shared" si="71"/>
        <v>2046363.2000000002</v>
      </c>
      <c r="S225" s="191"/>
      <c r="U225" s="232">
        <f t="shared" si="72"/>
        <v>388809.00800000003</v>
      </c>
      <c r="V225" s="232">
        <f t="shared" si="73"/>
        <v>22898804.208000001</v>
      </c>
    </row>
    <row r="226" spans="2:22">
      <c r="B226" s="231" t="s">
        <v>662</v>
      </c>
      <c r="C226" s="232">
        <f>+U127+U128+U129+U130+U131+U132+U133+U134+U135+U136+U137</f>
        <v>27966964</v>
      </c>
      <c r="G226" s="232">
        <f t="shared" si="71"/>
        <v>2796696.4000000004</v>
      </c>
      <c r="S226" s="191"/>
      <c r="U226" s="232">
        <f t="shared" si="72"/>
        <v>531372.31600000011</v>
      </c>
      <c r="V226" s="232">
        <f t="shared" si="73"/>
        <v>31295032.715999998</v>
      </c>
    </row>
    <row r="227" spans="2:22">
      <c r="B227" s="231" t="s">
        <v>663</v>
      </c>
      <c r="C227" s="232">
        <f>+U138+U139+U140+U141+U142+U143+U144+U145+U146+U147+U148+U149</f>
        <v>28137494</v>
      </c>
      <c r="G227" s="232">
        <f t="shared" si="71"/>
        <v>2813749.4000000004</v>
      </c>
      <c r="U227" s="232">
        <f t="shared" si="72"/>
        <v>534612.38600000006</v>
      </c>
      <c r="V227" s="232">
        <f t="shared" si="73"/>
        <v>31485855.785999998</v>
      </c>
    </row>
    <row r="228" spans="2:22">
      <c r="B228" s="231" t="s">
        <v>664</v>
      </c>
      <c r="C228" s="232">
        <f>+U150+U151</f>
        <v>5115908</v>
      </c>
      <c r="G228" s="232">
        <f t="shared" si="71"/>
        <v>511590.80000000005</v>
      </c>
      <c r="U228" s="232">
        <f t="shared" si="72"/>
        <v>97202.252000000008</v>
      </c>
      <c r="V228" s="232">
        <f t="shared" si="73"/>
        <v>5724701.0520000001</v>
      </c>
    </row>
    <row r="229" spans="2:22">
      <c r="B229" s="231" t="s">
        <v>665</v>
      </c>
      <c r="C229" s="232">
        <f>+U152+U153+U154</f>
        <v>5115908</v>
      </c>
      <c r="G229" s="232">
        <f t="shared" si="71"/>
        <v>511590.80000000005</v>
      </c>
      <c r="U229" s="232">
        <f t="shared" si="72"/>
        <v>97202.252000000008</v>
      </c>
      <c r="V229" s="232">
        <f t="shared" si="73"/>
        <v>5724701.0520000001</v>
      </c>
    </row>
    <row r="230" spans="2:22">
      <c r="B230" s="231" t="s">
        <v>666</v>
      </c>
      <c r="C230" s="232">
        <f>+U155+U156+U157+U158</f>
        <v>7673863</v>
      </c>
      <c r="G230" s="232">
        <f t="shared" si="71"/>
        <v>767386.3</v>
      </c>
      <c r="U230" s="232">
        <f t="shared" si="72"/>
        <v>145803.397</v>
      </c>
      <c r="V230" s="232">
        <f t="shared" si="73"/>
        <v>8587052.6970000006</v>
      </c>
    </row>
    <row r="231" spans="2:22">
      <c r="B231" s="231" t="s">
        <v>667</v>
      </c>
      <c r="C231" s="232">
        <f>+U159+U160+U161</f>
        <v>7673862</v>
      </c>
      <c r="G231" s="232">
        <f t="shared" si="71"/>
        <v>767386.20000000007</v>
      </c>
      <c r="U231" s="232">
        <f t="shared" si="72"/>
        <v>145803.37800000003</v>
      </c>
      <c r="V231" s="232">
        <f t="shared" si="73"/>
        <v>8587051.5779999997</v>
      </c>
    </row>
    <row r="232" spans="2:22">
      <c r="B232" s="231" t="s">
        <v>668</v>
      </c>
      <c r="C232" s="232">
        <f>+U162+U163+U164+U165+U166+U167+U168</f>
        <v>15091929</v>
      </c>
      <c r="G232" s="232">
        <f t="shared" si="71"/>
        <v>1509192.9000000001</v>
      </c>
      <c r="U232" s="232">
        <f t="shared" si="72"/>
        <v>286746.65100000001</v>
      </c>
      <c r="V232" s="232">
        <f t="shared" si="73"/>
        <v>16887868.550999999</v>
      </c>
    </row>
    <row r="233" spans="2:22">
      <c r="B233" s="231" t="s">
        <v>669</v>
      </c>
      <c r="C233" s="232">
        <f>+U169</f>
        <v>2557954</v>
      </c>
      <c r="G233" s="232">
        <f t="shared" si="71"/>
        <v>255795.40000000002</v>
      </c>
      <c r="U233" s="232">
        <f t="shared" si="72"/>
        <v>48601.126000000004</v>
      </c>
      <c r="V233" s="232">
        <f t="shared" si="73"/>
        <v>2862350.5260000001</v>
      </c>
    </row>
    <row r="234" spans="2:22">
      <c r="B234" s="231" t="s">
        <v>670</v>
      </c>
      <c r="C234" s="232">
        <f>+U170+U171+U172+U173+U174+U175+U176+U177+U178</f>
        <v>19440451</v>
      </c>
      <c r="G234" s="232">
        <f t="shared" si="71"/>
        <v>1944045.1</v>
      </c>
      <c r="U234" s="232">
        <f t="shared" si="72"/>
        <v>369368.56900000002</v>
      </c>
      <c r="V234" s="232">
        <f t="shared" si="73"/>
        <v>21753864.669</v>
      </c>
    </row>
    <row r="235" spans="2:22">
      <c r="B235" s="231" t="s">
        <v>671</v>
      </c>
      <c r="C235" s="232">
        <f>+U179+U180+U181+U182+U183+U184+U185</f>
        <v>15006664</v>
      </c>
      <c r="G235" s="232">
        <f t="shared" si="71"/>
        <v>1500666.4000000001</v>
      </c>
      <c r="U235" s="232">
        <f t="shared" si="72"/>
        <v>285126.61600000004</v>
      </c>
      <c r="V235" s="232">
        <f t="shared" si="73"/>
        <v>16792457.015999999</v>
      </c>
    </row>
    <row r="236" spans="2:22">
      <c r="B236" s="231" t="s">
        <v>672</v>
      </c>
      <c r="C236" s="232">
        <f>+U186+U187+U188+U189+U190</f>
        <v>10146551</v>
      </c>
      <c r="G236" s="232">
        <f t="shared" si="71"/>
        <v>1014655.1000000001</v>
      </c>
      <c r="U236" s="232">
        <f t="shared" si="72"/>
        <v>192784.46900000001</v>
      </c>
      <c r="V236" s="232">
        <f t="shared" si="73"/>
        <v>11353990.569</v>
      </c>
    </row>
    <row r="237" spans="2:22">
      <c r="B237" s="231" t="s">
        <v>673</v>
      </c>
      <c r="C237" s="232">
        <f>+U191+U192+U193</f>
        <v>7673862</v>
      </c>
      <c r="G237" s="232">
        <f t="shared" si="71"/>
        <v>767386.20000000007</v>
      </c>
      <c r="U237" s="232">
        <f t="shared" si="72"/>
        <v>145803.37800000003</v>
      </c>
      <c r="V237" s="232">
        <f t="shared" si="73"/>
        <v>8587051.5779999997</v>
      </c>
    </row>
    <row r="238" spans="2:22">
      <c r="B238" s="231" t="s">
        <v>674</v>
      </c>
      <c r="C238" s="232">
        <f>+U194+U195+U196</f>
        <v>5115908</v>
      </c>
      <c r="G238" s="232">
        <f t="shared" si="71"/>
        <v>511590.80000000005</v>
      </c>
      <c r="U238" s="232">
        <f t="shared" si="72"/>
        <v>97202.252000000008</v>
      </c>
      <c r="V238" s="232">
        <f t="shared" si="73"/>
        <v>5724701.0520000001</v>
      </c>
    </row>
    <row r="239" spans="2:22">
      <c r="B239" s="231" t="s">
        <v>675</v>
      </c>
      <c r="C239" s="232">
        <f>+U197+U198+U199+U200</f>
        <v>10061286</v>
      </c>
      <c r="G239" s="232">
        <f t="shared" si="71"/>
        <v>1006128.6000000001</v>
      </c>
      <c r="U239" s="232">
        <f t="shared" si="72"/>
        <v>191164.43400000001</v>
      </c>
      <c r="V239" s="232">
        <f t="shared" si="73"/>
        <v>11258579.034</v>
      </c>
    </row>
    <row r="240" spans="2:22">
      <c r="B240" s="231" t="s">
        <v>676</v>
      </c>
      <c r="C240" s="232">
        <f>+U202+U201</f>
        <v>5115908</v>
      </c>
      <c r="G240" s="232">
        <f t="shared" si="71"/>
        <v>511590.80000000005</v>
      </c>
      <c r="U240" s="232">
        <f t="shared" si="72"/>
        <v>97202.252000000008</v>
      </c>
      <c r="V240" s="232">
        <f t="shared" si="73"/>
        <v>5724701.0520000001</v>
      </c>
    </row>
    <row r="241" spans="1:22">
      <c r="B241" s="231" t="s">
        <v>677</v>
      </c>
      <c r="C241" s="232">
        <f>+U204+U203</f>
        <v>5115908</v>
      </c>
      <c r="G241" s="232">
        <f t="shared" si="71"/>
        <v>511590.80000000005</v>
      </c>
      <c r="U241" s="232">
        <f t="shared" si="72"/>
        <v>97202.252000000008</v>
      </c>
      <c r="V241" s="232">
        <f t="shared" si="73"/>
        <v>5724701.0520000001</v>
      </c>
    </row>
    <row r="242" spans="1:22">
      <c r="B242" s="231" t="s">
        <v>1028</v>
      </c>
      <c r="C242" s="232">
        <f>SUM(C217:C241)</f>
        <v>461710706</v>
      </c>
      <c r="G242" s="232">
        <f>SUM(G217:G241)</f>
        <v>46171070.599999987</v>
      </c>
      <c r="U242" s="232">
        <f>SUM(U217:U241)</f>
        <v>8772503.4140000027</v>
      </c>
      <c r="V242" s="232">
        <f>SUM(V217:V241)</f>
        <v>516654280.01399994</v>
      </c>
    </row>
    <row r="243" spans="1:22">
      <c r="B243" s="231" t="s">
        <v>1029</v>
      </c>
      <c r="V243" s="232">
        <v>65585763.353541099</v>
      </c>
    </row>
    <row r="244" spans="1:22">
      <c r="B244" s="233" t="s">
        <v>1030</v>
      </c>
      <c r="C244" s="234"/>
      <c r="D244" s="234"/>
      <c r="E244" s="234"/>
      <c r="F244" s="234"/>
      <c r="G244" s="234"/>
      <c r="H244" s="234"/>
      <c r="I244" s="234"/>
      <c r="J244" s="234"/>
      <c r="K244" s="234"/>
      <c r="L244" s="234"/>
      <c r="M244" s="234"/>
      <c r="N244" s="234"/>
      <c r="O244" s="234"/>
      <c r="P244" s="234"/>
      <c r="Q244" s="234"/>
      <c r="R244" s="234"/>
      <c r="S244" s="235"/>
      <c r="T244" s="234"/>
      <c r="U244" s="234"/>
      <c r="V244" s="236">
        <f>SUM(V242:V243)</f>
        <v>582240043.36754107</v>
      </c>
    </row>
    <row r="248" spans="1:22" ht="36">
      <c r="A248" s="257"/>
      <c r="B248" s="258" t="s">
        <v>13</v>
      </c>
      <c r="C248" s="258" t="s">
        <v>191</v>
      </c>
      <c r="D248" s="258" t="s">
        <v>210</v>
      </c>
      <c r="E248" s="258" t="s">
        <v>410</v>
      </c>
      <c r="F248" s="258" t="s">
        <v>89</v>
      </c>
      <c r="G248" s="258" t="s">
        <v>45</v>
      </c>
    </row>
    <row r="249" spans="1:22">
      <c r="A249" s="253" t="s">
        <v>947</v>
      </c>
      <c r="B249" s="254">
        <f>+SUMIFS($X$2:$X$209,$A$2:$A$209,$A249,$G$2:$G$209,B$248)</f>
        <v>33203272</v>
      </c>
      <c r="C249" s="254">
        <f t="shared" ref="C249:G249" si="74">+SUMIFS($X$2:$X$209,$A$2:$A$209,$A249,$G$2:$G$209,C$248)</f>
        <v>82149474</v>
      </c>
      <c r="D249" s="254">
        <f t="shared" si="74"/>
        <v>8587053</v>
      </c>
      <c r="E249" s="254">
        <f t="shared" si="74"/>
        <v>95412</v>
      </c>
      <c r="F249" s="254">
        <f t="shared" si="74"/>
        <v>2862351</v>
      </c>
      <c r="G249" s="254">
        <f t="shared" si="74"/>
        <v>5724702</v>
      </c>
      <c r="H249" s="259">
        <f>SUM(B249:G249)</f>
        <v>132622264</v>
      </c>
    </row>
    <row r="250" spans="1:22">
      <c r="A250" s="253" t="s">
        <v>948</v>
      </c>
      <c r="B250" s="254">
        <f t="shared" ref="B250:G273" si="75">+SUMIFS($X$2:$X$209,$A$2:$A$209,$A250,$G$2:$G$209,B$248)</f>
        <v>8300818</v>
      </c>
      <c r="C250" s="254">
        <f t="shared" si="75"/>
        <v>33680329</v>
      </c>
      <c r="D250" s="254">
        <f t="shared" si="75"/>
        <v>0</v>
      </c>
      <c r="E250" s="254">
        <f t="shared" si="75"/>
        <v>0</v>
      </c>
      <c r="F250" s="254">
        <f t="shared" si="75"/>
        <v>2862351</v>
      </c>
      <c r="G250" s="254">
        <f t="shared" si="75"/>
        <v>0</v>
      </c>
      <c r="H250" s="259">
        <f t="shared" ref="H250:H273" si="76">SUM(B250:G250)</f>
        <v>44843498</v>
      </c>
    </row>
    <row r="251" spans="1:22">
      <c r="A251" s="253" t="s">
        <v>949</v>
      </c>
      <c r="B251" s="254">
        <f t="shared" si="75"/>
        <v>5724702</v>
      </c>
      <c r="C251" s="254">
        <f t="shared" si="75"/>
        <v>5629290</v>
      </c>
      <c r="D251" s="254">
        <f t="shared" si="75"/>
        <v>0</v>
      </c>
      <c r="E251" s="254">
        <f t="shared" si="75"/>
        <v>0</v>
      </c>
      <c r="F251" s="254">
        <f t="shared" si="75"/>
        <v>2862351</v>
      </c>
      <c r="G251" s="254">
        <f t="shared" si="75"/>
        <v>0</v>
      </c>
      <c r="H251" s="259">
        <f t="shared" si="76"/>
        <v>14216343</v>
      </c>
    </row>
    <row r="252" spans="1:22">
      <c r="A252" s="253" t="s">
        <v>950</v>
      </c>
      <c r="B252" s="254">
        <f t="shared" si="75"/>
        <v>0</v>
      </c>
      <c r="C252" s="254">
        <f t="shared" si="75"/>
        <v>5724702</v>
      </c>
      <c r="D252" s="254">
        <f t="shared" si="75"/>
        <v>0</v>
      </c>
      <c r="E252" s="254">
        <f t="shared" si="75"/>
        <v>0</v>
      </c>
      <c r="F252" s="254">
        <f t="shared" si="75"/>
        <v>0</v>
      </c>
      <c r="G252" s="254">
        <f t="shared" si="75"/>
        <v>0</v>
      </c>
      <c r="H252" s="259">
        <f t="shared" si="76"/>
        <v>5724702</v>
      </c>
    </row>
    <row r="253" spans="1:22">
      <c r="A253" s="253" t="s">
        <v>951</v>
      </c>
      <c r="B253" s="254">
        <f t="shared" si="75"/>
        <v>5724702</v>
      </c>
      <c r="C253" s="254">
        <f t="shared" si="75"/>
        <v>25474923</v>
      </c>
      <c r="D253" s="254">
        <f t="shared" si="75"/>
        <v>2671527</v>
      </c>
      <c r="E253" s="254">
        <f t="shared" si="75"/>
        <v>286235</v>
      </c>
      <c r="F253" s="254">
        <f t="shared" si="75"/>
        <v>0</v>
      </c>
      <c r="G253" s="254">
        <f t="shared" si="75"/>
        <v>0</v>
      </c>
      <c r="H253" s="259">
        <f t="shared" si="76"/>
        <v>34157387</v>
      </c>
    </row>
    <row r="254" spans="1:22">
      <c r="A254" s="253" t="s">
        <v>952</v>
      </c>
      <c r="B254" s="254">
        <f t="shared" si="75"/>
        <v>1812822</v>
      </c>
      <c r="C254" s="254">
        <f t="shared" si="75"/>
        <v>22898808</v>
      </c>
      <c r="D254" s="254">
        <f t="shared" si="75"/>
        <v>0</v>
      </c>
      <c r="E254" s="254">
        <f t="shared" si="75"/>
        <v>2576115</v>
      </c>
      <c r="F254" s="254">
        <f t="shared" si="75"/>
        <v>0</v>
      </c>
      <c r="G254" s="254">
        <f t="shared" si="75"/>
        <v>0</v>
      </c>
      <c r="H254" s="259">
        <f t="shared" si="76"/>
        <v>27287745</v>
      </c>
    </row>
    <row r="255" spans="1:22">
      <c r="A255" s="253" t="s">
        <v>953</v>
      </c>
      <c r="B255" s="254">
        <f t="shared" si="75"/>
        <v>5724702</v>
      </c>
      <c r="C255" s="254">
        <f t="shared" si="75"/>
        <v>16983282</v>
      </c>
      <c r="D255" s="254">
        <f t="shared" si="75"/>
        <v>0</v>
      </c>
      <c r="E255" s="254">
        <f t="shared" si="75"/>
        <v>0</v>
      </c>
      <c r="F255" s="254">
        <f t="shared" si="75"/>
        <v>0</v>
      </c>
      <c r="G255" s="254">
        <f>+SUMIFS($X$2:$X$209,$A$2:$A$209,$A255,$G$2:$G$209,G$248)</f>
        <v>0</v>
      </c>
      <c r="H255" s="259">
        <f t="shared" si="76"/>
        <v>22707984</v>
      </c>
    </row>
    <row r="256" spans="1:22">
      <c r="A256" s="253" t="s">
        <v>954</v>
      </c>
      <c r="B256" s="254">
        <f t="shared" si="75"/>
        <v>2862351</v>
      </c>
      <c r="C256" s="254">
        <f t="shared" si="75"/>
        <v>11449404</v>
      </c>
      <c r="D256" s="254">
        <f t="shared" si="75"/>
        <v>0</v>
      </c>
      <c r="E256" s="254">
        <f t="shared" si="75"/>
        <v>0</v>
      </c>
      <c r="F256" s="254">
        <f t="shared" si="75"/>
        <v>0</v>
      </c>
      <c r="G256" s="254">
        <f t="shared" si="75"/>
        <v>0</v>
      </c>
      <c r="H256" s="259">
        <f t="shared" si="76"/>
        <v>14311755</v>
      </c>
    </row>
    <row r="257" spans="1:8">
      <c r="A257" s="253" t="s">
        <v>955</v>
      </c>
      <c r="B257" s="254">
        <f t="shared" si="75"/>
        <v>5724702</v>
      </c>
      <c r="C257" s="254">
        <f t="shared" si="75"/>
        <v>17174106</v>
      </c>
      <c r="D257" s="254">
        <f t="shared" si="75"/>
        <v>0</v>
      </c>
      <c r="E257" s="254">
        <f t="shared" si="75"/>
        <v>0</v>
      </c>
      <c r="F257" s="254">
        <f t="shared" si="75"/>
        <v>0</v>
      </c>
      <c r="G257" s="254">
        <f t="shared" si="75"/>
        <v>0</v>
      </c>
      <c r="H257" s="259">
        <f t="shared" si="76"/>
        <v>22898808</v>
      </c>
    </row>
    <row r="258" spans="1:8">
      <c r="A258" s="253" t="s">
        <v>662</v>
      </c>
      <c r="B258" s="254">
        <f t="shared" si="75"/>
        <v>5724702</v>
      </c>
      <c r="C258" s="254">
        <f t="shared" si="75"/>
        <v>22707984</v>
      </c>
      <c r="D258" s="254">
        <f t="shared" si="75"/>
        <v>0</v>
      </c>
      <c r="E258" s="254">
        <f t="shared" si="75"/>
        <v>0</v>
      </c>
      <c r="F258" s="254">
        <f t="shared" si="75"/>
        <v>0</v>
      </c>
      <c r="G258" s="254">
        <f t="shared" si="75"/>
        <v>2862351</v>
      </c>
      <c r="H258" s="259">
        <f t="shared" si="76"/>
        <v>31295037</v>
      </c>
    </row>
    <row r="259" spans="1:8">
      <c r="A259" s="253" t="s">
        <v>663</v>
      </c>
      <c r="B259" s="254">
        <f t="shared" si="75"/>
        <v>5724702</v>
      </c>
      <c r="C259" s="254">
        <f t="shared" si="75"/>
        <v>22707984</v>
      </c>
      <c r="D259" s="254">
        <f t="shared" si="75"/>
        <v>0</v>
      </c>
      <c r="E259" s="254">
        <f t="shared" si="75"/>
        <v>190823</v>
      </c>
      <c r="F259" s="254">
        <f t="shared" si="75"/>
        <v>0</v>
      </c>
      <c r="G259" s="254">
        <f t="shared" si="75"/>
        <v>2862351</v>
      </c>
      <c r="H259" s="259">
        <f t="shared" si="76"/>
        <v>31485860</v>
      </c>
    </row>
    <row r="260" spans="1:8">
      <c r="A260" s="253" t="s">
        <v>664</v>
      </c>
      <c r="B260" s="254">
        <f t="shared" si="75"/>
        <v>0</v>
      </c>
      <c r="C260" s="254">
        <f t="shared" si="75"/>
        <v>5724702</v>
      </c>
      <c r="D260" s="254">
        <f t="shared" si="75"/>
        <v>0</v>
      </c>
      <c r="E260" s="254">
        <f t="shared" si="75"/>
        <v>0</v>
      </c>
      <c r="F260" s="254">
        <f t="shared" si="75"/>
        <v>0</v>
      </c>
      <c r="G260" s="254">
        <f t="shared" si="75"/>
        <v>0</v>
      </c>
      <c r="H260" s="259">
        <f t="shared" si="76"/>
        <v>5724702</v>
      </c>
    </row>
    <row r="261" spans="1:8">
      <c r="A261" s="253" t="s">
        <v>665</v>
      </c>
      <c r="B261" s="254">
        <f t="shared" si="75"/>
        <v>0</v>
      </c>
      <c r="C261" s="254">
        <f t="shared" si="75"/>
        <v>5533878</v>
      </c>
      <c r="D261" s="254">
        <f t="shared" si="75"/>
        <v>0</v>
      </c>
      <c r="E261" s="254">
        <f t="shared" si="75"/>
        <v>190823</v>
      </c>
      <c r="F261" s="254">
        <f t="shared" si="75"/>
        <v>0</v>
      </c>
      <c r="G261" s="254">
        <f t="shared" si="75"/>
        <v>0</v>
      </c>
      <c r="H261" s="259">
        <f t="shared" si="76"/>
        <v>5724701</v>
      </c>
    </row>
    <row r="262" spans="1:8">
      <c r="A262" s="253" t="s">
        <v>666</v>
      </c>
      <c r="B262" s="254">
        <f t="shared" si="75"/>
        <v>2862351</v>
      </c>
      <c r="C262" s="254">
        <f t="shared" si="75"/>
        <v>5724702</v>
      </c>
      <c r="D262" s="254">
        <f t="shared" si="75"/>
        <v>0</v>
      </c>
      <c r="E262" s="254">
        <f t="shared" si="75"/>
        <v>0</v>
      </c>
      <c r="F262" s="254">
        <f t="shared" si="75"/>
        <v>0</v>
      </c>
      <c r="G262" s="254">
        <f t="shared" si="75"/>
        <v>0</v>
      </c>
      <c r="H262" s="259">
        <f t="shared" si="76"/>
        <v>8587053</v>
      </c>
    </row>
    <row r="263" spans="1:8">
      <c r="A263" s="253" t="s">
        <v>667</v>
      </c>
      <c r="B263" s="254">
        <f t="shared" si="75"/>
        <v>2862351</v>
      </c>
      <c r="C263" s="254">
        <f t="shared" si="75"/>
        <v>5724702</v>
      </c>
      <c r="D263" s="254">
        <f t="shared" si="75"/>
        <v>0</v>
      </c>
      <c r="E263" s="254">
        <f t="shared" si="75"/>
        <v>0</v>
      </c>
      <c r="F263" s="254">
        <f t="shared" si="75"/>
        <v>0</v>
      </c>
      <c r="G263" s="254">
        <f t="shared" si="75"/>
        <v>0</v>
      </c>
      <c r="H263" s="259">
        <f t="shared" si="76"/>
        <v>8587053</v>
      </c>
    </row>
    <row r="264" spans="1:8">
      <c r="A264" s="253" t="s">
        <v>668</v>
      </c>
      <c r="B264" s="254">
        <f t="shared" si="75"/>
        <v>5724702</v>
      </c>
      <c r="C264" s="254">
        <f t="shared" si="75"/>
        <v>11163169</v>
      </c>
      <c r="D264" s="254">
        <f t="shared" si="75"/>
        <v>0</v>
      </c>
      <c r="E264" s="254">
        <f t="shared" si="75"/>
        <v>0</v>
      </c>
      <c r="F264" s="254">
        <f t="shared" si="75"/>
        <v>0</v>
      </c>
      <c r="G264" s="254">
        <f t="shared" si="75"/>
        <v>0</v>
      </c>
      <c r="H264" s="259">
        <f t="shared" si="76"/>
        <v>16887871</v>
      </c>
    </row>
    <row r="265" spans="1:8">
      <c r="A265" s="253" t="s">
        <v>669</v>
      </c>
      <c r="B265" s="254">
        <f t="shared" si="75"/>
        <v>0</v>
      </c>
      <c r="C265" s="254">
        <f t="shared" si="75"/>
        <v>2862351</v>
      </c>
      <c r="D265" s="254">
        <f t="shared" si="75"/>
        <v>0</v>
      </c>
      <c r="E265" s="254">
        <f t="shared" si="75"/>
        <v>0</v>
      </c>
      <c r="F265" s="254">
        <f t="shared" si="75"/>
        <v>0</v>
      </c>
      <c r="G265" s="254">
        <f t="shared" si="75"/>
        <v>0</v>
      </c>
      <c r="H265" s="259">
        <f t="shared" si="76"/>
        <v>2862351</v>
      </c>
    </row>
    <row r="266" spans="1:8">
      <c r="A266" s="253" t="s">
        <v>670</v>
      </c>
      <c r="B266" s="254">
        <f t="shared" si="75"/>
        <v>5724702</v>
      </c>
      <c r="C266" s="254">
        <f t="shared" si="75"/>
        <v>11258580</v>
      </c>
      <c r="D266" s="254">
        <f t="shared" si="75"/>
        <v>0</v>
      </c>
      <c r="E266" s="254">
        <f t="shared" si="75"/>
        <v>95412</v>
      </c>
      <c r="F266" s="254">
        <f t="shared" si="75"/>
        <v>1812823</v>
      </c>
      <c r="G266" s="254">
        <f t="shared" si="75"/>
        <v>2862351</v>
      </c>
      <c r="H266" s="259">
        <f t="shared" si="76"/>
        <v>21753868</v>
      </c>
    </row>
    <row r="267" spans="1:8">
      <c r="A267" s="253" t="s">
        <v>671</v>
      </c>
      <c r="B267" s="254">
        <f t="shared" si="75"/>
        <v>5724702</v>
      </c>
      <c r="C267" s="254">
        <f t="shared" si="75"/>
        <v>8205406</v>
      </c>
      <c r="D267" s="254">
        <f t="shared" si="75"/>
        <v>0</v>
      </c>
      <c r="E267" s="254">
        <f t="shared" si="75"/>
        <v>0</v>
      </c>
      <c r="F267" s="254">
        <f t="shared" si="75"/>
        <v>2862351</v>
      </c>
      <c r="G267" s="254">
        <f t="shared" si="75"/>
        <v>0</v>
      </c>
      <c r="H267" s="259">
        <f t="shared" si="76"/>
        <v>16792459</v>
      </c>
    </row>
    <row r="268" spans="1:8">
      <c r="A268" s="253" t="s">
        <v>672</v>
      </c>
      <c r="B268" s="254">
        <f t="shared" si="75"/>
        <v>2671527</v>
      </c>
      <c r="C268" s="254">
        <f t="shared" si="75"/>
        <v>8587053</v>
      </c>
      <c r="D268" s="254">
        <f t="shared" si="75"/>
        <v>0</v>
      </c>
      <c r="E268" s="254">
        <f t="shared" si="75"/>
        <v>95412</v>
      </c>
      <c r="F268" s="254">
        <f t="shared" si="75"/>
        <v>0</v>
      </c>
      <c r="G268" s="254">
        <f t="shared" si="75"/>
        <v>0</v>
      </c>
      <c r="H268" s="259">
        <f t="shared" si="76"/>
        <v>11353992</v>
      </c>
    </row>
    <row r="269" spans="1:8">
      <c r="A269" s="253" t="s">
        <v>673</v>
      </c>
      <c r="B269" s="254">
        <f t="shared" si="75"/>
        <v>2862351</v>
      </c>
      <c r="C269" s="254">
        <f t="shared" si="75"/>
        <v>5724702</v>
      </c>
      <c r="D269" s="254">
        <f t="shared" si="75"/>
        <v>0</v>
      </c>
      <c r="E269" s="254">
        <f t="shared" si="75"/>
        <v>0</v>
      </c>
      <c r="F269" s="254">
        <f t="shared" si="75"/>
        <v>0</v>
      </c>
      <c r="G269" s="254">
        <f t="shared" si="75"/>
        <v>0</v>
      </c>
      <c r="H269" s="259">
        <f t="shared" si="76"/>
        <v>8587053</v>
      </c>
    </row>
    <row r="270" spans="1:8">
      <c r="A270" s="253" t="s">
        <v>674</v>
      </c>
      <c r="B270" s="254">
        <f t="shared" si="75"/>
        <v>0</v>
      </c>
      <c r="C270" s="254">
        <f t="shared" si="75"/>
        <v>5724702</v>
      </c>
      <c r="D270" s="254">
        <f t="shared" si="75"/>
        <v>0</v>
      </c>
      <c r="E270" s="254">
        <f t="shared" si="75"/>
        <v>0</v>
      </c>
      <c r="F270" s="254">
        <f t="shared" si="75"/>
        <v>0</v>
      </c>
      <c r="G270" s="254">
        <f t="shared" si="75"/>
        <v>0</v>
      </c>
      <c r="H270" s="259">
        <f t="shared" si="76"/>
        <v>5724702</v>
      </c>
    </row>
    <row r="271" spans="1:8">
      <c r="A271" s="253" t="s">
        <v>675</v>
      </c>
      <c r="B271" s="254">
        <f t="shared" si="75"/>
        <v>2862351</v>
      </c>
      <c r="C271" s="254">
        <f t="shared" si="75"/>
        <v>8396229</v>
      </c>
      <c r="D271" s="254">
        <f t="shared" si="75"/>
        <v>0</v>
      </c>
      <c r="E271" s="254">
        <f t="shared" si="75"/>
        <v>0</v>
      </c>
      <c r="F271" s="254">
        <f t="shared" si="75"/>
        <v>0</v>
      </c>
      <c r="G271" s="254">
        <f t="shared" si="75"/>
        <v>0</v>
      </c>
      <c r="H271" s="259">
        <f t="shared" si="76"/>
        <v>11258580</v>
      </c>
    </row>
    <row r="272" spans="1:8">
      <c r="A272" s="253" t="s">
        <v>676</v>
      </c>
      <c r="B272" s="254">
        <f t="shared" si="75"/>
        <v>0</v>
      </c>
      <c r="C272" s="254">
        <f t="shared" si="75"/>
        <v>5724702</v>
      </c>
      <c r="D272" s="254">
        <f t="shared" si="75"/>
        <v>0</v>
      </c>
      <c r="E272" s="254">
        <f t="shared" si="75"/>
        <v>0</v>
      </c>
      <c r="F272" s="254">
        <f t="shared" si="75"/>
        <v>0</v>
      </c>
      <c r="G272" s="254">
        <f t="shared" si="75"/>
        <v>0</v>
      </c>
      <c r="H272" s="259">
        <f t="shared" si="76"/>
        <v>5724702</v>
      </c>
    </row>
    <row r="273" spans="1:8">
      <c r="A273" s="253" t="s">
        <v>677</v>
      </c>
      <c r="B273" s="254">
        <f t="shared" si="75"/>
        <v>0</v>
      </c>
      <c r="C273" s="254">
        <f t="shared" si="75"/>
        <v>5724702</v>
      </c>
      <c r="D273" s="254">
        <f t="shared" si="75"/>
        <v>0</v>
      </c>
      <c r="E273" s="254">
        <f t="shared" si="75"/>
        <v>0</v>
      </c>
      <c r="F273" s="254">
        <f t="shared" si="75"/>
        <v>0</v>
      </c>
      <c r="G273" s="254">
        <f t="shared" si="75"/>
        <v>0</v>
      </c>
      <c r="H273" s="259">
        <f t="shared" si="76"/>
        <v>5724702</v>
      </c>
    </row>
    <row r="274" spans="1:8">
      <c r="A274" s="255" t="s">
        <v>690</v>
      </c>
      <c r="B274" s="256">
        <f>SUM(B249:B273)</f>
        <v>111822512</v>
      </c>
      <c r="C274" s="256">
        <f t="shared" ref="C274:G274" si="77">SUM(C249:C273)</f>
        <v>362659866</v>
      </c>
      <c r="D274" s="256">
        <f t="shared" si="77"/>
        <v>11258580</v>
      </c>
      <c r="E274" s="256">
        <f t="shared" si="77"/>
        <v>3530232</v>
      </c>
      <c r="F274" s="256">
        <f t="shared" si="77"/>
        <v>13262227</v>
      </c>
      <c r="G274" s="256">
        <f t="shared" si="77"/>
        <v>14311755</v>
      </c>
    </row>
    <row r="276" spans="1:8" ht="36">
      <c r="A276" s="257"/>
      <c r="B276" s="258" t="s">
        <v>13</v>
      </c>
      <c r="C276" s="258" t="s">
        <v>191</v>
      </c>
      <c r="D276" s="258" t="s">
        <v>210</v>
      </c>
      <c r="E276" s="258" t="s">
        <v>410</v>
      </c>
      <c r="F276" s="258" t="s">
        <v>89</v>
      </c>
      <c r="G276" s="258" t="s">
        <v>45</v>
      </c>
    </row>
    <row r="277" spans="1:8">
      <c r="A277" s="253" t="s">
        <v>947</v>
      </c>
      <c r="B277" s="260">
        <f>+COUNTIFS($A$2:$A$209,$A277,$G$2:$G$209,B$276)</f>
        <v>12</v>
      </c>
      <c r="C277" s="260">
        <f t="shared" ref="C277:G292" si="78">+COUNTIFS($A$2:$A$209,$A277,$G$2:$G$209,C$276)</f>
        <v>32</v>
      </c>
      <c r="D277" s="260">
        <f t="shared" si="78"/>
        <v>3</v>
      </c>
      <c r="E277" s="260">
        <f t="shared" si="78"/>
        <v>1</v>
      </c>
      <c r="F277" s="260">
        <f t="shared" si="78"/>
        <v>1</v>
      </c>
      <c r="G277" s="260">
        <f t="shared" si="78"/>
        <v>2</v>
      </c>
      <c r="H277" s="259">
        <f>SUM(B277:G277)</f>
        <v>51</v>
      </c>
    </row>
    <row r="278" spans="1:8">
      <c r="A278" s="253" t="s">
        <v>948</v>
      </c>
      <c r="B278" s="260">
        <f t="shared" ref="B278:G301" si="79">+COUNTIFS($A$2:$A$209,$A278,$G$2:$G$209,B$276)</f>
        <v>3</v>
      </c>
      <c r="C278" s="260">
        <f t="shared" si="78"/>
        <v>12</v>
      </c>
      <c r="D278" s="260">
        <f t="shared" si="78"/>
        <v>0</v>
      </c>
      <c r="E278" s="260">
        <f t="shared" si="78"/>
        <v>0</v>
      </c>
      <c r="F278" s="260">
        <f t="shared" si="78"/>
        <v>1</v>
      </c>
      <c r="G278" s="260">
        <f t="shared" si="78"/>
        <v>0</v>
      </c>
      <c r="H278" s="259">
        <f t="shared" ref="H278:H301" si="80">SUM(B278:G278)</f>
        <v>16</v>
      </c>
    </row>
    <row r="279" spans="1:8">
      <c r="A279" s="253" t="s">
        <v>949</v>
      </c>
      <c r="B279" s="260">
        <f t="shared" si="79"/>
        <v>2</v>
      </c>
      <c r="C279" s="260">
        <f t="shared" si="78"/>
        <v>2</v>
      </c>
      <c r="D279" s="260">
        <f t="shared" si="78"/>
        <v>0</v>
      </c>
      <c r="E279" s="260">
        <f t="shared" si="78"/>
        <v>0</v>
      </c>
      <c r="F279" s="260">
        <f t="shared" si="78"/>
        <v>1</v>
      </c>
      <c r="G279" s="260">
        <f t="shared" si="78"/>
        <v>0</v>
      </c>
      <c r="H279" s="259">
        <f t="shared" si="80"/>
        <v>5</v>
      </c>
    </row>
    <row r="280" spans="1:8">
      <c r="A280" s="253" t="s">
        <v>950</v>
      </c>
      <c r="B280" s="260">
        <f t="shared" si="79"/>
        <v>0</v>
      </c>
      <c r="C280" s="260">
        <f t="shared" si="78"/>
        <v>2</v>
      </c>
      <c r="D280" s="260">
        <f t="shared" si="78"/>
        <v>0</v>
      </c>
      <c r="E280" s="260">
        <f t="shared" si="78"/>
        <v>0</v>
      </c>
      <c r="F280" s="260">
        <f t="shared" si="78"/>
        <v>0</v>
      </c>
      <c r="G280" s="260">
        <f t="shared" si="78"/>
        <v>0</v>
      </c>
      <c r="H280" s="259">
        <f t="shared" si="80"/>
        <v>2</v>
      </c>
    </row>
    <row r="281" spans="1:8">
      <c r="A281" s="253" t="s">
        <v>951</v>
      </c>
      <c r="B281" s="260">
        <f t="shared" si="79"/>
        <v>2</v>
      </c>
      <c r="C281" s="260">
        <f t="shared" si="78"/>
        <v>9</v>
      </c>
      <c r="D281" s="260">
        <f t="shared" si="78"/>
        <v>1</v>
      </c>
      <c r="E281" s="260">
        <f t="shared" si="78"/>
        <v>2</v>
      </c>
      <c r="F281" s="260">
        <f t="shared" si="78"/>
        <v>0</v>
      </c>
      <c r="G281" s="260">
        <f t="shared" si="78"/>
        <v>0</v>
      </c>
      <c r="H281" s="259">
        <f t="shared" si="80"/>
        <v>14</v>
      </c>
    </row>
    <row r="282" spans="1:8">
      <c r="A282" s="253" t="s">
        <v>952</v>
      </c>
      <c r="B282" s="260">
        <f t="shared" si="79"/>
        <v>4</v>
      </c>
      <c r="C282" s="260">
        <f t="shared" si="78"/>
        <v>8</v>
      </c>
      <c r="D282" s="260">
        <f t="shared" si="78"/>
        <v>0</v>
      </c>
      <c r="E282" s="260">
        <f t="shared" si="78"/>
        <v>2</v>
      </c>
      <c r="F282" s="260">
        <f t="shared" si="78"/>
        <v>0</v>
      </c>
      <c r="G282" s="260">
        <f t="shared" si="78"/>
        <v>0</v>
      </c>
      <c r="H282" s="259">
        <f t="shared" si="80"/>
        <v>14</v>
      </c>
    </row>
    <row r="283" spans="1:8">
      <c r="A283" s="253" t="s">
        <v>953</v>
      </c>
      <c r="B283" s="260">
        <f t="shared" si="79"/>
        <v>3</v>
      </c>
      <c r="C283" s="260">
        <f t="shared" si="78"/>
        <v>7</v>
      </c>
      <c r="D283" s="260">
        <f t="shared" si="78"/>
        <v>0</v>
      </c>
      <c r="E283" s="260">
        <f t="shared" si="78"/>
        <v>0</v>
      </c>
      <c r="F283" s="260">
        <f t="shared" si="78"/>
        <v>0</v>
      </c>
      <c r="G283" s="260">
        <f t="shared" si="78"/>
        <v>0</v>
      </c>
      <c r="H283" s="259">
        <f t="shared" si="80"/>
        <v>10</v>
      </c>
    </row>
    <row r="284" spans="1:8">
      <c r="A284" s="253" t="s">
        <v>954</v>
      </c>
      <c r="B284" s="260">
        <f t="shared" si="79"/>
        <v>1</v>
      </c>
      <c r="C284" s="260">
        <f t="shared" si="78"/>
        <v>4</v>
      </c>
      <c r="D284" s="260">
        <f t="shared" si="78"/>
        <v>0</v>
      </c>
      <c r="E284" s="260">
        <f t="shared" si="78"/>
        <v>0</v>
      </c>
      <c r="F284" s="260">
        <f t="shared" si="78"/>
        <v>0</v>
      </c>
      <c r="G284" s="260">
        <f t="shared" si="78"/>
        <v>0</v>
      </c>
      <c r="H284" s="259">
        <f t="shared" si="80"/>
        <v>5</v>
      </c>
    </row>
    <row r="285" spans="1:8">
      <c r="A285" s="253" t="s">
        <v>955</v>
      </c>
      <c r="B285" s="260">
        <f t="shared" si="79"/>
        <v>2</v>
      </c>
      <c r="C285" s="260">
        <f t="shared" si="78"/>
        <v>6</v>
      </c>
      <c r="D285" s="260">
        <f t="shared" si="78"/>
        <v>0</v>
      </c>
      <c r="E285" s="260">
        <f t="shared" si="78"/>
        <v>0</v>
      </c>
      <c r="F285" s="260">
        <f t="shared" si="78"/>
        <v>0</v>
      </c>
      <c r="G285" s="260">
        <f t="shared" si="78"/>
        <v>0</v>
      </c>
      <c r="H285" s="259">
        <f t="shared" si="80"/>
        <v>8</v>
      </c>
    </row>
    <row r="286" spans="1:8">
      <c r="A286" s="253" t="s">
        <v>662</v>
      </c>
      <c r="B286" s="260">
        <f t="shared" si="79"/>
        <v>2</v>
      </c>
      <c r="C286" s="260">
        <f t="shared" si="78"/>
        <v>8</v>
      </c>
      <c r="D286" s="260">
        <f t="shared" si="78"/>
        <v>0</v>
      </c>
      <c r="E286" s="260">
        <f t="shared" si="78"/>
        <v>0</v>
      </c>
      <c r="F286" s="260">
        <f t="shared" si="78"/>
        <v>0</v>
      </c>
      <c r="G286" s="260">
        <f t="shared" si="78"/>
        <v>1</v>
      </c>
      <c r="H286" s="259">
        <f t="shared" si="80"/>
        <v>11</v>
      </c>
    </row>
    <row r="287" spans="1:8">
      <c r="A287" s="253" t="s">
        <v>663</v>
      </c>
      <c r="B287" s="260">
        <f t="shared" si="79"/>
        <v>2</v>
      </c>
      <c r="C287" s="260">
        <f t="shared" si="78"/>
        <v>8</v>
      </c>
      <c r="D287" s="260">
        <f t="shared" si="78"/>
        <v>0</v>
      </c>
      <c r="E287" s="260">
        <f t="shared" si="78"/>
        <v>1</v>
      </c>
      <c r="F287" s="260">
        <f t="shared" si="78"/>
        <v>0</v>
      </c>
      <c r="G287" s="260">
        <f t="shared" si="78"/>
        <v>1</v>
      </c>
      <c r="H287" s="259">
        <f t="shared" si="80"/>
        <v>12</v>
      </c>
    </row>
    <row r="288" spans="1:8">
      <c r="A288" s="253" t="s">
        <v>664</v>
      </c>
      <c r="B288" s="260">
        <f t="shared" si="79"/>
        <v>0</v>
      </c>
      <c r="C288" s="260">
        <f t="shared" si="78"/>
        <v>2</v>
      </c>
      <c r="D288" s="260">
        <f t="shared" si="78"/>
        <v>0</v>
      </c>
      <c r="E288" s="260">
        <f t="shared" si="78"/>
        <v>0</v>
      </c>
      <c r="F288" s="260">
        <f t="shared" si="78"/>
        <v>0</v>
      </c>
      <c r="G288" s="260">
        <f t="shared" si="78"/>
        <v>0</v>
      </c>
      <c r="H288" s="259">
        <f t="shared" si="80"/>
        <v>2</v>
      </c>
    </row>
    <row r="289" spans="1:8">
      <c r="A289" s="253" t="s">
        <v>665</v>
      </c>
      <c r="B289" s="260">
        <f t="shared" si="79"/>
        <v>0</v>
      </c>
      <c r="C289" s="260">
        <f t="shared" si="78"/>
        <v>2</v>
      </c>
      <c r="D289" s="260">
        <f t="shared" si="78"/>
        <v>0</v>
      </c>
      <c r="E289" s="260">
        <f t="shared" si="78"/>
        <v>1</v>
      </c>
      <c r="F289" s="260">
        <f t="shared" si="78"/>
        <v>0</v>
      </c>
      <c r="G289" s="260">
        <f t="shared" si="78"/>
        <v>0</v>
      </c>
      <c r="H289" s="259">
        <f t="shared" si="80"/>
        <v>3</v>
      </c>
    </row>
    <row r="290" spans="1:8">
      <c r="A290" s="253" t="s">
        <v>666</v>
      </c>
      <c r="B290" s="260">
        <f t="shared" si="79"/>
        <v>1</v>
      </c>
      <c r="C290" s="260">
        <f t="shared" si="78"/>
        <v>3</v>
      </c>
      <c r="D290" s="260">
        <f t="shared" si="78"/>
        <v>0</v>
      </c>
      <c r="E290" s="260">
        <f t="shared" si="78"/>
        <v>0</v>
      </c>
      <c r="F290" s="260">
        <f t="shared" si="78"/>
        <v>0</v>
      </c>
      <c r="G290" s="260">
        <f t="shared" si="78"/>
        <v>0</v>
      </c>
      <c r="H290" s="259">
        <f t="shared" si="80"/>
        <v>4</v>
      </c>
    </row>
    <row r="291" spans="1:8">
      <c r="A291" s="253" t="s">
        <v>667</v>
      </c>
      <c r="B291" s="260">
        <f t="shared" si="79"/>
        <v>1</v>
      </c>
      <c r="C291" s="260">
        <f t="shared" si="78"/>
        <v>2</v>
      </c>
      <c r="D291" s="260">
        <f t="shared" si="78"/>
        <v>0</v>
      </c>
      <c r="E291" s="260">
        <f t="shared" si="78"/>
        <v>0</v>
      </c>
      <c r="F291" s="260">
        <f t="shared" si="78"/>
        <v>0</v>
      </c>
      <c r="G291" s="260">
        <f t="shared" si="78"/>
        <v>0</v>
      </c>
      <c r="H291" s="259">
        <f t="shared" si="80"/>
        <v>3</v>
      </c>
    </row>
    <row r="292" spans="1:8">
      <c r="A292" s="253" t="s">
        <v>668</v>
      </c>
      <c r="B292" s="260">
        <f t="shared" si="79"/>
        <v>2</v>
      </c>
      <c r="C292" s="260">
        <f t="shared" si="78"/>
        <v>4</v>
      </c>
      <c r="D292" s="260">
        <f t="shared" si="78"/>
        <v>0</v>
      </c>
      <c r="E292" s="260">
        <f t="shared" si="78"/>
        <v>1</v>
      </c>
      <c r="F292" s="260">
        <f t="shared" si="78"/>
        <v>0</v>
      </c>
      <c r="G292" s="260">
        <f t="shared" si="78"/>
        <v>0</v>
      </c>
      <c r="H292" s="259">
        <f t="shared" si="80"/>
        <v>7</v>
      </c>
    </row>
    <row r="293" spans="1:8">
      <c r="A293" s="253" t="s">
        <v>669</v>
      </c>
      <c r="B293" s="260">
        <f t="shared" si="79"/>
        <v>0</v>
      </c>
      <c r="C293" s="260">
        <f t="shared" si="79"/>
        <v>1</v>
      </c>
      <c r="D293" s="260">
        <f t="shared" si="79"/>
        <v>0</v>
      </c>
      <c r="E293" s="260">
        <f t="shared" si="79"/>
        <v>0</v>
      </c>
      <c r="F293" s="260">
        <f t="shared" si="79"/>
        <v>0</v>
      </c>
      <c r="G293" s="260">
        <f t="shared" si="79"/>
        <v>0</v>
      </c>
      <c r="H293" s="259">
        <f t="shared" si="80"/>
        <v>1</v>
      </c>
    </row>
    <row r="294" spans="1:8">
      <c r="A294" s="253" t="s">
        <v>670</v>
      </c>
      <c r="B294" s="260">
        <f t="shared" si="79"/>
        <v>2</v>
      </c>
      <c r="C294" s="260">
        <f t="shared" si="79"/>
        <v>4</v>
      </c>
      <c r="D294" s="260">
        <f t="shared" si="79"/>
        <v>0</v>
      </c>
      <c r="E294" s="260">
        <f t="shared" si="79"/>
        <v>1</v>
      </c>
      <c r="F294" s="260">
        <f t="shared" si="79"/>
        <v>1</v>
      </c>
      <c r="G294" s="260">
        <f t="shared" si="79"/>
        <v>1</v>
      </c>
      <c r="H294" s="259">
        <f t="shared" si="80"/>
        <v>9</v>
      </c>
    </row>
    <row r="295" spans="1:8">
      <c r="A295" s="253" t="s">
        <v>671</v>
      </c>
      <c r="B295" s="260">
        <f t="shared" si="79"/>
        <v>2</v>
      </c>
      <c r="C295" s="260">
        <f t="shared" si="79"/>
        <v>4</v>
      </c>
      <c r="D295" s="260">
        <f t="shared" si="79"/>
        <v>0</v>
      </c>
      <c r="E295" s="260">
        <f t="shared" si="79"/>
        <v>0</v>
      </c>
      <c r="F295" s="260">
        <f t="shared" si="79"/>
        <v>1</v>
      </c>
      <c r="G295" s="260">
        <f t="shared" si="79"/>
        <v>0</v>
      </c>
      <c r="H295" s="259">
        <f t="shared" si="80"/>
        <v>7</v>
      </c>
    </row>
    <row r="296" spans="1:8">
      <c r="A296" s="253" t="s">
        <v>672</v>
      </c>
      <c r="B296" s="260">
        <f t="shared" si="79"/>
        <v>1</v>
      </c>
      <c r="C296" s="260">
        <f t="shared" si="79"/>
        <v>3</v>
      </c>
      <c r="D296" s="260">
        <f t="shared" si="79"/>
        <v>0</v>
      </c>
      <c r="E296" s="260">
        <f t="shared" si="79"/>
        <v>1</v>
      </c>
      <c r="F296" s="260">
        <f t="shared" si="79"/>
        <v>0</v>
      </c>
      <c r="G296" s="260">
        <f t="shared" si="79"/>
        <v>0</v>
      </c>
      <c r="H296" s="259">
        <f t="shared" si="80"/>
        <v>5</v>
      </c>
    </row>
    <row r="297" spans="1:8">
      <c r="A297" s="253" t="s">
        <v>673</v>
      </c>
      <c r="B297" s="260">
        <f t="shared" si="79"/>
        <v>1</v>
      </c>
      <c r="C297" s="260">
        <f t="shared" si="79"/>
        <v>2</v>
      </c>
      <c r="D297" s="260">
        <f t="shared" si="79"/>
        <v>0</v>
      </c>
      <c r="E297" s="260">
        <f t="shared" si="79"/>
        <v>0</v>
      </c>
      <c r="F297" s="260">
        <f t="shared" si="79"/>
        <v>0</v>
      </c>
      <c r="G297" s="260">
        <f t="shared" si="79"/>
        <v>0</v>
      </c>
      <c r="H297" s="259">
        <f t="shared" si="80"/>
        <v>3</v>
      </c>
    </row>
    <row r="298" spans="1:8">
      <c r="A298" s="253" t="s">
        <v>674</v>
      </c>
      <c r="B298" s="260">
        <f t="shared" si="79"/>
        <v>0</v>
      </c>
      <c r="C298" s="260">
        <f t="shared" si="79"/>
        <v>3</v>
      </c>
      <c r="D298" s="260">
        <f t="shared" si="79"/>
        <v>0</v>
      </c>
      <c r="E298" s="260">
        <f t="shared" si="79"/>
        <v>0</v>
      </c>
      <c r="F298" s="260">
        <f t="shared" si="79"/>
        <v>0</v>
      </c>
      <c r="G298" s="260">
        <f t="shared" si="79"/>
        <v>0</v>
      </c>
      <c r="H298" s="259">
        <f t="shared" si="80"/>
        <v>3</v>
      </c>
    </row>
    <row r="299" spans="1:8">
      <c r="A299" s="253" t="s">
        <v>675</v>
      </c>
      <c r="B299" s="260">
        <f t="shared" si="79"/>
        <v>1</v>
      </c>
      <c r="C299" s="260">
        <f t="shared" si="79"/>
        <v>3</v>
      </c>
      <c r="D299" s="260">
        <f t="shared" si="79"/>
        <v>0</v>
      </c>
      <c r="E299" s="260">
        <f t="shared" si="79"/>
        <v>0</v>
      </c>
      <c r="F299" s="260">
        <f t="shared" si="79"/>
        <v>0</v>
      </c>
      <c r="G299" s="260">
        <f t="shared" si="79"/>
        <v>0</v>
      </c>
      <c r="H299" s="259">
        <f t="shared" si="80"/>
        <v>4</v>
      </c>
    </row>
    <row r="300" spans="1:8">
      <c r="A300" s="253" t="s">
        <v>676</v>
      </c>
      <c r="B300" s="260">
        <f t="shared" si="79"/>
        <v>0</v>
      </c>
      <c r="C300" s="260">
        <f t="shared" si="79"/>
        <v>2</v>
      </c>
      <c r="D300" s="260">
        <f t="shared" si="79"/>
        <v>0</v>
      </c>
      <c r="E300" s="260">
        <f t="shared" si="79"/>
        <v>0</v>
      </c>
      <c r="F300" s="260">
        <f t="shared" si="79"/>
        <v>0</v>
      </c>
      <c r="G300" s="260">
        <f t="shared" si="79"/>
        <v>0</v>
      </c>
      <c r="H300" s="259">
        <f t="shared" si="80"/>
        <v>2</v>
      </c>
    </row>
    <row r="301" spans="1:8">
      <c r="A301" s="253" t="s">
        <v>677</v>
      </c>
      <c r="B301" s="260">
        <f t="shared" si="79"/>
        <v>0</v>
      </c>
      <c r="C301" s="260">
        <f t="shared" si="79"/>
        <v>2</v>
      </c>
      <c r="D301" s="260">
        <f t="shared" si="79"/>
        <v>0</v>
      </c>
      <c r="E301" s="260">
        <f t="shared" si="79"/>
        <v>0</v>
      </c>
      <c r="F301" s="260">
        <f t="shared" si="79"/>
        <v>0</v>
      </c>
      <c r="G301" s="260">
        <f t="shared" si="79"/>
        <v>0</v>
      </c>
      <c r="H301" s="259">
        <f t="shared" si="80"/>
        <v>2</v>
      </c>
    </row>
    <row r="302" spans="1:8">
      <c r="A302" s="255" t="s">
        <v>690</v>
      </c>
      <c r="B302" s="256">
        <f>SUM(B277:B301)</f>
        <v>44</v>
      </c>
      <c r="C302" s="256">
        <f t="shared" ref="C302" si="81">SUM(C277:C301)</f>
        <v>135</v>
      </c>
      <c r="D302" s="256">
        <f t="shared" ref="D302" si="82">SUM(D277:D301)</f>
        <v>4</v>
      </c>
      <c r="E302" s="256">
        <f t="shared" ref="E302" si="83">SUM(E277:E301)</f>
        <v>10</v>
      </c>
      <c r="F302" s="256">
        <f t="shared" ref="F302" si="84">SUM(F277:F301)</f>
        <v>5</v>
      </c>
      <c r="G302" s="256">
        <f t="shared" ref="G302:H302" si="85">SUM(G277:G301)</f>
        <v>5</v>
      </c>
      <c r="H302" s="256">
        <f t="shared" si="85"/>
        <v>203</v>
      </c>
    </row>
  </sheetData>
  <autoFilter ref="A1:U244"/>
  <mergeCells count="1">
    <mergeCell ref="A210:O210"/>
  </mergeCells>
  <conditionalFormatting sqref="B10">
    <cfRule type="duplicateValues" dxfId="311" priority="51"/>
    <cfRule type="duplicateValues" dxfId="310" priority="52"/>
    <cfRule type="duplicateValues" dxfId="309" priority="53"/>
  </conditionalFormatting>
  <conditionalFormatting sqref="B19">
    <cfRule type="duplicateValues" dxfId="308" priority="48"/>
    <cfRule type="duplicateValues" dxfId="307" priority="49"/>
    <cfRule type="duplicateValues" dxfId="306" priority="50"/>
  </conditionalFormatting>
  <conditionalFormatting sqref="B47">
    <cfRule type="duplicateValues" dxfId="305" priority="106"/>
  </conditionalFormatting>
  <conditionalFormatting sqref="B49">
    <cfRule type="duplicateValues" dxfId="304" priority="110"/>
  </conditionalFormatting>
  <conditionalFormatting sqref="B50">
    <cfRule type="duplicateValues" dxfId="303" priority="24"/>
    <cfRule type="duplicateValues" dxfId="302" priority="25"/>
    <cfRule type="duplicateValues" dxfId="301" priority="26"/>
  </conditionalFormatting>
  <conditionalFormatting sqref="B51">
    <cfRule type="duplicateValues" dxfId="300" priority="21"/>
    <cfRule type="duplicateValues" dxfId="299" priority="22"/>
    <cfRule type="duplicateValues" dxfId="298" priority="23"/>
  </conditionalFormatting>
  <conditionalFormatting sqref="B60">
    <cfRule type="duplicateValues" dxfId="297" priority="107"/>
  </conditionalFormatting>
  <conditionalFormatting sqref="B72">
    <cfRule type="duplicateValues" dxfId="296" priority="113"/>
  </conditionalFormatting>
  <conditionalFormatting sqref="B73">
    <cfRule type="duplicateValues" dxfId="295" priority="103"/>
  </conditionalFormatting>
  <conditionalFormatting sqref="B84">
    <cfRule type="duplicateValues" dxfId="294" priority="57"/>
    <cfRule type="duplicateValues" dxfId="293" priority="58"/>
    <cfRule type="duplicateValues" dxfId="292" priority="59"/>
  </conditionalFormatting>
  <conditionalFormatting sqref="B88">
    <cfRule type="duplicateValues" dxfId="291" priority="10"/>
    <cfRule type="duplicateValues" dxfId="290" priority="11"/>
    <cfRule type="duplicateValues" dxfId="289" priority="12"/>
    <cfRule type="duplicateValues" dxfId="288" priority="13"/>
  </conditionalFormatting>
  <conditionalFormatting sqref="B91:B92">
    <cfRule type="duplicateValues" dxfId="287" priority="105"/>
  </conditionalFormatting>
  <conditionalFormatting sqref="B93 B95:B96">
    <cfRule type="duplicateValues" dxfId="286" priority="118"/>
  </conditionalFormatting>
  <conditionalFormatting sqref="B94">
    <cfRule type="duplicateValues" dxfId="285" priority="97"/>
  </conditionalFormatting>
  <conditionalFormatting sqref="B97">
    <cfRule type="duplicateValues" dxfId="284" priority="45"/>
    <cfRule type="duplicateValues" dxfId="283" priority="46"/>
    <cfRule type="duplicateValues" dxfId="282" priority="47"/>
  </conditionalFormatting>
  <conditionalFormatting sqref="B103">
    <cfRule type="duplicateValues" dxfId="281" priority="42"/>
    <cfRule type="duplicateValues" dxfId="280" priority="43"/>
    <cfRule type="duplicateValues" dxfId="279" priority="44"/>
  </conditionalFormatting>
  <conditionalFormatting sqref="B111">
    <cfRule type="duplicateValues" dxfId="278" priority="39"/>
    <cfRule type="duplicateValues" dxfId="277" priority="40"/>
    <cfRule type="duplicateValues" dxfId="276" priority="41"/>
  </conditionalFormatting>
  <conditionalFormatting sqref="B113">
    <cfRule type="duplicateValues" dxfId="275" priority="31"/>
    <cfRule type="duplicateValues" dxfId="274" priority="32"/>
    <cfRule type="duplicateValues" dxfId="273" priority="33"/>
  </conditionalFormatting>
  <conditionalFormatting sqref="B115">
    <cfRule type="duplicateValues" dxfId="272" priority="99"/>
    <cfRule type="duplicateValues" dxfId="271" priority="100"/>
  </conditionalFormatting>
  <conditionalFormatting sqref="B142">
    <cfRule type="duplicateValues" dxfId="270" priority="38"/>
  </conditionalFormatting>
  <conditionalFormatting sqref="B152">
    <cfRule type="duplicateValues" dxfId="269" priority="111"/>
  </conditionalFormatting>
  <conditionalFormatting sqref="B154">
    <cfRule type="duplicateValues" dxfId="268" priority="18"/>
    <cfRule type="duplicateValues" dxfId="267" priority="19"/>
    <cfRule type="duplicateValues" dxfId="266" priority="20"/>
  </conditionalFormatting>
  <conditionalFormatting sqref="B156">
    <cfRule type="duplicateValues" dxfId="265" priority="15"/>
    <cfRule type="duplicateValues" dxfId="264" priority="16"/>
    <cfRule type="duplicateValues" dxfId="263" priority="17"/>
  </conditionalFormatting>
  <conditionalFormatting sqref="B157">
    <cfRule type="duplicateValues" dxfId="262" priority="54"/>
    <cfRule type="duplicateValues" dxfId="261" priority="55"/>
    <cfRule type="duplicateValues" dxfId="260" priority="56"/>
  </conditionalFormatting>
  <conditionalFormatting sqref="B158:B164 B153 B98:B102 B85:B87 B52:B59 B11:B18 B20:B46 B48 B61:B71 B104:B110 B112 B116:B141 B143:B151 B166:B170 B172:B180 B114 B182:B188 B190:B204 B155 B89:B90 B74:B83 B1:B9">
    <cfRule type="duplicateValues" dxfId="259" priority="338"/>
  </conditionalFormatting>
  <conditionalFormatting sqref="B165">
    <cfRule type="duplicateValues" dxfId="258" priority="37"/>
  </conditionalFormatting>
  <conditionalFormatting sqref="B171">
    <cfRule type="duplicateValues" dxfId="257" priority="34"/>
    <cfRule type="duplicateValues" dxfId="256" priority="35"/>
    <cfRule type="duplicateValues" dxfId="255" priority="36"/>
  </conditionalFormatting>
  <conditionalFormatting sqref="B181">
    <cfRule type="duplicateValues" dxfId="254" priority="28"/>
    <cfRule type="duplicateValues" dxfId="253" priority="29"/>
    <cfRule type="duplicateValues" dxfId="252" priority="30"/>
  </conditionalFormatting>
  <conditionalFormatting sqref="B189">
    <cfRule type="duplicateValues" dxfId="251" priority="27"/>
  </conditionalFormatting>
  <conditionalFormatting sqref="B205:B209">
    <cfRule type="duplicateValues" dxfId="250" priority="294"/>
  </conditionalFormatting>
  <conditionalFormatting sqref="B211">
    <cfRule type="duplicateValues" dxfId="249" priority="96"/>
  </conditionalFormatting>
  <conditionalFormatting sqref="B212">
    <cfRule type="duplicateValues" dxfId="248" priority="93"/>
    <cfRule type="duplicateValues" dxfId="247" priority="94"/>
    <cfRule type="duplicateValues" dxfId="246" priority="95"/>
  </conditionalFormatting>
  <conditionalFormatting sqref="B213">
    <cfRule type="duplicateValues" dxfId="245" priority="90"/>
    <cfRule type="duplicateValues" dxfId="244" priority="91"/>
    <cfRule type="duplicateValues" dxfId="243" priority="92"/>
  </conditionalFormatting>
  <conditionalFormatting sqref="B214">
    <cfRule type="duplicateValues" dxfId="242" priority="81"/>
    <cfRule type="duplicateValues" dxfId="241" priority="82"/>
    <cfRule type="duplicateValues" dxfId="240" priority="83"/>
  </conditionalFormatting>
  <conditionalFormatting sqref="B215">
    <cfRule type="duplicateValues" dxfId="239" priority="69"/>
    <cfRule type="duplicateValues" dxfId="238" priority="70"/>
    <cfRule type="duplicateValues" dxfId="237" priority="71"/>
  </conditionalFormatting>
  <conditionalFormatting sqref="S8 S6">
    <cfRule type="duplicateValues" dxfId="236" priority="196"/>
  </conditionalFormatting>
  <conditionalFormatting sqref="S66">
    <cfRule type="duplicateValues" dxfId="235" priority="87"/>
    <cfRule type="duplicateValues" dxfId="234" priority="88"/>
    <cfRule type="duplicateValues" dxfId="233" priority="89"/>
  </conditionalFormatting>
  <conditionalFormatting sqref="B89:B215 B1:B87 B242:B247 B452:B1048576">
    <cfRule type="duplicateValues" dxfId="232" priority="339"/>
  </conditionalFormatting>
  <conditionalFormatting sqref="B211 B85:B87 B11:B18 B158:B164 B98:B102 B104:B110 B112 B116:B141 B143:B153 B166:B170 B172:B180 B114 B182:B188 B190:B204 B155 B89:B96 B1:B9 B20:B49 B52:B83 B242:B247 B452:B1048576">
    <cfRule type="duplicateValues" dxfId="231" priority="344"/>
  </conditionalFormatting>
  <conditionalFormatting sqref="B211 B85:B87 B11:B18 B158:B164 B98:B102 B104:B110 B112 B143:B153 B166:B170 B172:B180 B114:B141 B182:B188 B190:B204 B155 B89:B96 B1:B9 B20:B49 B52:B83 B242:B247 B452:B1048576">
    <cfRule type="duplicateValues" dxfId="230" priority="366"/>
  </conditionalFormatting>
  <conditionalFormatting sqref="B248:G248">
    <cfRule type="duplicateValues" dxfId="229" priority="7"/>
  </conditionalFormatting>
  <conditionalFormatting sqref="B248:G248">
    <cfRule type="duplicateValues" dxfId="228" priority="8"/>
  </conditionalFormatting>
  <conditionalFormatting sqref="B248:G248">
    <cfRule type="duplicateValues" dxfId="227" priority="9"/>
  </conditionalFormatting>
  <conditionalFormatting sqref="B276:G276">
    <cfRule type="duplicateValues" dxfId="226" priority="1"/>
  </conditionalFormatting>
  <conditionalFormatting sqref="B276:G276">
    <cfRule type="duplicateValues" dxfId="225" priority="2"/>
  </conditionalFormatting>
  <conditionalFormatting sqref="B276:G276">
    <cfRule type="duplicateValues" dxfId="224" priority="3"/>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workbookViewId="0">
      <selection activeCell="B25" sqref="B25"/>
    </sheetView>
  </sheetViews>
  <sheetFormatPr baseColWidth="10" defaultColWidth="11" defaultRowHeight="14.25"/>
  <cols>
    <col min="1" max="1" width="25.125" customWidth="1"/>
    <col min="2" max="2" width="45.625" customWidth="1"/>
    <col min="3" max="3" width="10.625" customWidth="1"/>
    <col min="4" max="4" width="14.875" bestFit="1" customWidth="1"/>
    <col min="5" max="5" width="13.875" bestFit="1" customWidth="1"/>
    <col min="6" max="6" width="12.875" bestFit="1" customWidth="1"/>
    <col min="7" max="7" width="16.125" bestFit="1" customWidth="1"/>
    <col min="8" max="8" width="14.875" bestFit="1" customWidth="1"/>
    <col min="9" max="9" width="13.875" bestFit="1" customWidth="1"/>
  </cols>
  <sheetData>
    <row r="1" spans="1:9" ht="28.5">
      <c r="B1" s="119" t="s">
        <v>915</v>
      </c>
      <c r="C1" s="119" t="s">
        <v>684</v>
      </c>
      <c r="D1" s="119" t="s">
        <v>916</v>
      </c>
      <c r="E1" s="120" t="s">
        <v>436</v>
      </c>
      <c r="F1" s="121" t="s">
        <v>733</v>
      </c>
      <c r="G1" s="122" t="s">
        <v>690</v>
      </c>
      <c r="H1" s="98" t="s">
        <v>734</v>
      </c>
    </row>
    <row r="2" spans="1:9" ht="14.25" customHeight="1">
      <c r="A2" s="174" t="s">
        <v>727</v>
      </c>
      <c r="B2" s="82" t="s">
        <v>191</v>
      </c>
      <c r="C2" s="82">
        <f>+COUNTIFS(PERSONAL!$G$2:$P$199,B2)</f>
        <v>130</v>
      </c>
      <c r="D2" s="267">
        <f>+SUMIFS(PERSONAL!$U$2:$U$204,PERSONAL!$G$2:$G$204,B2)</f>
        <v>324092780</v>
      </c>
      <c r="E2" s="267">
        <f>+D2*10%</f>
        <v>32409278</v>
      </c>
      <c r="F2" s="267">
        <f>+E2*19%</f>
        <v>6157762.8200000003</v>
      </c>
      <c r="G2" s="267">
        <f>+ROUND((D2+E2+F2),0)</f>
        <v>362659821</v>
      </c>
      <c r="H2" s="276">
        <f>SUM(G2:G7)</f>
        <v>516845104</v>
      </c>
      <c r="I2" s="277">
        <f>+G2+G3+G4+G5+G7-H2+G6</f>
        <v>0</v>
      </c>
    </row>
    <row r="3" spans="1:9" ht="14.25" customHeight="1">
      <c r="A3" s="174" t="s">
        <v>727</v>
      </c>
      <c r="B3" s="84" t="s">
        <v>13</v>
      </c>
      <c r="C3" s="82">
        <f>+COUNTIFS(PERSONAL!$G$2:$P$199,B3)</f>
        <v>44</v>
      </c>
      <c r="D3" s="267">
        <f>+SUMIFS(PERSONAL!$U$2:$U$204,PERSONAL!$G$2:$G$204,B3)</f>
        <v>99930738</v>
      </c>
      <c r="E3" s="267">
        <f t="shared" ref="E3:E7" si="0">+D3*10%</f>
        <v>9993073.8000000007</v>
      </c>
      <c r="F3" s="267">
        <f t="shared" ref="F3:F7" si="1">+E3*19%</f>
        <v>1898684.0220000001</v>
      </c>
      <c r="G3" s="267">
        <f t="shared" ref="G3:G7" si="2">+ROUND((D3+E3+F3),0)</f>
        <v>111822496</v>
      </c>
      <c r="H3" s="276"/>
      <c r="I3" s="278"/>
    </row>
    <row r="4" spans="1:9" ht="14.25" customHeight="1">
      <c r="A4" s="174" t="s">
        <v>727</v>
      </c>
      <c r="B4" s="82" t="s">
        <v>210</v>
      </c>
      <c r="C4" s="82">
        <f>+COUNTIFS(PERSONAL!$G$2:$P$199,B4)</f>
        <v>4</v>
      </c>
      <c r="D4" s="267">
        <f>+SUMIFS(PERSONAL!$U$2:$U$204,PERSONAL!$G$2:$G$204,B4)</f>
        <v>10061286</v>
      </c>
      <c r="E4" s="267">
        <f t="shared" si="0"/>
        <v>1006128.6000000001</v>
      </c>
      <c r="F4" s="267">
        <f t="shared" si="1"/>
        <v>191164.43400000001</v>
      </c>
      <c r="G4" s="267">
        <f t="shared" si="2"/>
        <v>11258579</v>
      </c>
      <c r="H4" s="276"/>
      <c r="I4" s="278"/>
    </row>
    <row r="5" spans="1:9" ht="14.25" customHeight="1">
      <c r="A5" s="174" t="s">
        <v>727</v>
      </c>
      <c r="B5" s="82" t="s">
        <v>89</v>
      </c>
      <c r="C5" s="82">
        <f>+COUNTIFS(PERSONAL!$G$2:$P$199,B5)</f>
        <v>5</v>
      </c>
      <c r="D5" s="267">
        <f>+SUMIFS(PERSONAL!$U$2:$U$204,PERSONAL!$G$2:$G$204,B5)</f>
        <v>11851854</v>
      </c>
      <c r="E5" s="267">
        <f t="shared" si="0"/>
        <v>1185185.4000000001</v>
      </c>
      <c r="F5" s="267">
        <f t="shared" si="1"/>
        <v>225185.22600000002</v>
      </c>
      <c r="G5" s="267">
        <f t="shared" si="2"/>
        <v>13262225</v>
      </c>
      <c r="H5" s="276"/>
      <c r="I5" s="278"/>
    </row>
    <row r="6" spans="1:9" ht="14.25" customHeight="1">
      <c r="A6" s="174" t="s">
        <v>727</v>
      </c>
      <c r="B6" s="82" t="s">
        <v>45</v>
      </c>
      <c r="C6" s="82">
        <f>+COUNTIFS(PERSONAL!$G$2:$P$199,B6)</f>
        <v>5</v>
      </c>
      <c r="D6" s="267">
        <f>+SUMIFS(PERSONAL!$U$2:$U$204,PERSONAL!$G$2:$G$204,B6)</f>
        <v>12789770</v>
      </c>
      <c r="E6" s="267">
        <f t="shared" ref="E6" si="3">+D6*10%</f>
        <v>1278977</v>
      </c>
      <c r="F6" s="267">
        <f t="shared" ref="F6" si="4">+E6*19%</f>
        <v>243005.63</v>
      </c>
      <c r="G6" s="267">
        <f t="shared" ref="G6" si="5">+ROUND((D6+E6+F6),0)</f>
        <v>14311753</v>
      </c>
      <c r="H6" s="276"/>
      <c r="I6" s="278"/>
    </row>
    <row r="7" spans="1:9" ht="14.25" customHeight="1">
      <c r="A7" s="174" t="s">
        <v>727</v>
      </c>
      <c r="B7" s="82" t="s">
        <v>410</v>
      </c>
      <c r="C7" s="82">
        <f>+COUNTIFS(PERSONAL!$G$2:$P$199,B7)</f>
        <v>10</v>
      </c>
      <c r="D7" s="267">
        <f>+SUMIFS(PERSONAL!$U$2:$U$204,PERSONAL!$G$2:$G$204,B7)</f>
        <v>3154808</v>
      </c>
      <c r="E7" s="267">
        <f t="shared" si="0"/>
        <v>315480.80000000005</v>
      </c>
      <c r="F7" s="267">
        <f t="shared" si="1"/>
        <v>59941.352000000006</v>
      </c>
      <c r="G7" s="267">
        <f t="shared" si="2"/>
        <v>3530230</v>
      </c>
      <c r="H7" s="276"/>
      <c r="I7" s="278"/>
    </row>
    <row r="8" spans="1:9" ht="25.5">
      <c r="A8" s="174" t="s">
        <v>728</v>
      </c>
      <c r="B8" s="175"/>
      <c r="C8" s="175"/>
      <c r="D8" s="267">
        <f>+'INSUMOS Y MAQUINARIA'!BM131</f>
        <v>60258241.153316446</v>
      </c>
      <c r="E8" s="267">
        <f>+D8*10%</f>
        <v>6025824.1153316451</v>
      </c>
      <c r="F8" s="267">
        <f>+E8*19%</f>
        <v>1144906.5819130125</v>
      </c>
      <c r="G8" s="267">
        <f>+D8+E8+F8</f>
        <v>67428971.850561097</v>
      </c>
      <c r="H8" s="268">
        <f>+'INSUMOS Y MAQUINARIA'!BL131</f>
        <v>67428971.850561097</v>
      </c>
      <c r="I8" s="176">
        <f>+G8-H8</f>
        <v>0</v>
      </c>
    </row>
    <row r="9" spans="1:9" ht="15" thickBot="1">
      <c r="A9" s="279" t="s">
        <v>726</v>
      </c>
      <c r="B9" s="280"/>
      <c r="C9" s="118"/>
      <c r="D9" s="269">
        <f>SUM(D2:D8)</f>
        <v>522139477.15331644</v>
      </c>
      <c r="E9" s="269">
        <f>SUM(E2:E8)</f>
        <v>52213947.715331636</v>
      </c>
      <c r="F9" s="270">
        <f>SUM(F2:F8)</f>
        <v>9920650.0659130141</v>
      </c>
      <c r="G9" s="271">
        <f>SUM(G2:G8)</f>
        <v>584274075.85056114</v>
      </c>
      <c r="H9" s="271">
        <f>SUM(H2:H8)</f>
        <v>584274075.85056114</v>
      </c>
      <c r="I9" s="83"/>
    </row>
    <row r="10" spans="1:9">
      <c r="A10" s="95"/>
      <c r="B10" s="96"/>
      <c r="C10" s="96"/>
      <c r="D10" s="92"/>
      <c r="E10" s="92"/>
      <c r="F10" s="92"/>
      <c r="G10" s="99">
        <f>+G9-H9</f>
        <v>0</v>
      </c>
      <c r="H10" s="100" t="s">
        <v>735</v>
      </c>
      <c r="I10" s="83"/>
    </row>
    <row r="11" spans="1:9">
      <c r="A11" s="97"/>
      <c r="B11" s="97"/>
      <c r="C11" s="97"/>
      <c r="D11" s="93"/>
      <c r="E11" s="93"/>
      <c r="F11" s="93"/>
      <c r="G11" s="93"/>
      <c r="H11" s="83"/>
      <c r="I11" s="83"/>
    </row>
    <row r="12" spans="1:9">
      <c r="A12" s="97"/>
      <c r="B12" s="97"/>
      <c r="C12" s="97"/>
      <c r="D12" s="94"/>
      <c r="E12" s="94"/>
      <c r="F12" s="94"/>
      <c r="G12" s="94"/>
      <c r="H12" s="83"/>
      <c r="I12" s="83"/>
    </row>
    <row r="13" spans="1:9">
      <c r="A13" s="83"/>
      <c r="B13" s="83"/>
      <c r="C13" s="83"/>
      <c r="D13" s="85"/>
      <c r="E13" s="85"/>
      <c r="F13" s="85"/>
      <c r="G13" s="85"/>
      <c r="H13" s="83"/>
      <c r="I13" s="83"/>
    </row>
    <row r="15" spans="1:9">
      <c r="G15">
        <v>584274076</v>
      </c>
    </row>
    <row r="16" spans="1:9">
      <c r="G16" s="192"/>
    </row>
    <row r="18" spans="7:7">
      <c r="G18" s="88"/>
    </row>
  </sheetData>
  <mergeCells count="3">
    <mergeCell ref="H2:H7"/>
    <mergeCell ref="I2:I7"/>
    <mergeCell ref="A9:B9"/>
  </mergeCells>
  <conditionalFormatting sqref="D10:G11">
    <cfRule type="expression" dxfId="223" priority="4">
      <formula>ISERROR($M10)</formula>
    </cfRule>
  </conditionalFormatting>
  <conditionalFormatting sqref="G9:H9">
    <cfRule type="cellIs" dxfId="222" priority="1" operator="equal">
      <formula>$D$12</formula>
    </cfRule>
  </conditionalFormatting>
  <dataValidations disablePrompts="1" count="1">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B10:C10">
      <formula1>0.01</formula1>
      <formula2>#REF!</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8"/>
  <sheetViews>
    <sheetView topLeftCell="D1" workbookViewId="0">
      <selection activeCell="Z26" sqref="Z26"/>
    </sheetView>
  </sheetViews>
  <sheetFormatPr baseColWidth="10" defaultRowHeight="14.25"/>
  <cols>
    <col min="6" max="14" width="1.875" bestFit="1" customWidth="1"/>
    <col min="15" max="35" width="2.875" bestFit="1" customWidth="1"/>
  </cols>
  <sheetData>
    <row r="1" spans="1:35" ht="15">
      <c r="A1" s="285" t="s">
        <v>1</v>
      </c>
      <c r="B1" s="285" t="s">
        <v>2</v>
      </c>
      <c r="C1" s="285" t="s">
        <v>3</v>
      </c>
      <c r="D1" s="285" t="s">
        <v>4</v>
      </c>
      <c r="E1" s="285" t="s">
        <v>5</v>
      </c>
      <c r="F1" s="284" t="s">
        <v>969</v>
      </c>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row>
    <row r="2" spans="1:35" ht="15">
      <c r="A2" s="285"/>
      <c r="B2" s="285"/>
      <c r="C2" s="285"/>
      <c r="D2" s="285"/>
      <c r="E2" s="285"/>
      <c r="F2" s="195">
        <v>1</v>
      </c>
      <c r="G2" s="195">
        <v>2</v>
      </c>
      <c r="H2" s="195">
        <v>3</v>
      </c>
      <c r="I2" s="195">
        <v>4</v>
      </c>
      <c r="J2" s="195">
        <v>5</v>
      </c>
      <c r="K2" s="195">
        <v>6</v>
      </c>
      <c r="L2" s="195">
        <v>7</v>
      </c>
      <c r="M2" s="195">
        <v>8</v>
      </c>
      <c r="N2" s="195">
        <v>9</v>
      </c>
      <c r="O2" s="195">
        <v>10</v>
      </c>
      <c r="P2" s="195">
        <v>11</v>
      </c>
      <c r="Q2" s="195">
        <v>12</v>
      </c>
      <c r="R2" s="195">
        <v>13</v>
      </c>
      <c r="S2" s="195">
        <v>14</v>
      </c>
      <c r="T2" s="195">
        <v>15</v>
      </c>
      <c r="U2" s="195">
        <v>16</v>
      </c>
      <c r="V2" s="195">
        <v>17</v>
      </c>
      <c r="W2" s="195">
        <v>18</v>
      </c>
      <c r="X2" s="195">
        <v>19</v>
      </c>
      <c r="Y2" s="195">
        <v>20</v>
      </c>
      <c r="Z2" s="195">
        <v>21</v>
      </c>
      <c r="AA2" s="195">
        <v>22</v>
      </c>
      <c r="AB2" s="195">
        <v>23</v>
      </c>
      <c r="AC2" s="195">
        <v>24</v>
      </c>
      <c r="AD2" s="195">
        <v>25</v>
      </c>
      <c r="AE2" s="195">
        <v>26</v>
      </c>
      <c r="AF2" s="195">
        <v>27</v>
      </c>
      <c r="AG2" s="195">
        <v>28</v>
      </c>
      <c r="AH2" s="195">
        <v>29</v>
      </c>
      <c r="AI2" s="195">
        <v>30</v>
      </c>
    </row>
    <row r="3" spans="1:35" ht="15" customHeight="1">
      <c r="A3" s="8">
        <v>52011281</v>
      </c>
      <c r="B3" s="8" t="s">
        <v>270</v>
      </c>
      <c r="C3" s="8"/>
      <c r="D3" s="8" t="s">
        <v>754</v>
      </c>
      <c r="E3" s="8"/>
      <c r="F3" s="238" t="s">
        <v>1036</v>
      </c>
      <c r="G3" s="196"/>
      <c r="H3" s="196"/>
      <c r="I3" s="196"/>
      <c r="J3" s="196"/>
      <c r="K3" s="196"/>
      <c r="L3" s="196"/>
      <c r="M3" s="196"/>
      <c r="N3" s="196"/>
      <c r="O3" s="196"/>
      <c r="P3" s="238" t="s">
        <v>1071</v>
      </c>
      <c r="Q3" s="238" t="s">
        <v>1064</v>
      </c>
      <c r="R3" s="238" t="s">
        <v>1064</v>
      </c>
      <c r="S3" s="238" t="s">
        <v>1063</v>
      </c>
      <c r="T3" s="238" t="s">
        <v>1063</v>
      </c>
      <c r="U3" s="196"/>
      <c r="V3" s="196"/>
      <c r="W3" s="196"/>
      <c r="X3" s="196"/>
      <c r="Y3" s="196"/>
      <c r="Z3" s="196"/>
      <c r="AA3" s="196"/>
      <c r="AB3" s="196"/>
      <c r="AC3" s="196"/>
      <c r="AD3" s="196"/>
      <c r="AE3" s="196"/>
      <c r="AF3" s="196"/>
      <c r="AG3" s="196"/>
      <c r="AH3" s="196"/>
      <c r="AI3" s="196"/>
    </row>
    <row r="4" spans="1:35">
      <c r="A4" s="8">
        <v>52316756</v>
      </c>
      <c r="B4" s="8" t="s">
        <v>35</v>
      </c>
      <c r="C4" s="8" t="s">
        <v>741</v>
      </c>
      <c r="D4" s="8" t="s">
        <v>288</v>
      </c>
      <c r="E4" s="8"/>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row>
    <row r="5" spans="1:35">
      <c r="A5" s="8">
        <v>1013583198</v>
      </c>
      <c r="B5" s="8" t="s">
        <v>373</v>
      </c>
      <c r="C5" s="8" t="s">
        <v>94</v>
      </c>
      <c r="D5" s="8" t="s">
        <v>740</v>
      </c>
      <c r="E5" s="8" t="s">
        <v>265</v>
      </c>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row>
    <row r="6" spans="1:35">
      <c r="A6" s="198">
        <v>52443651</v>
      </c>
      <c r="B6" s="198" t="s">
        <v>266</v>
      </c>
      <c r="C6" s="198" t="s">
        <v>94</v>
      </c>
      <c r="D6" s="198" t="s">
        <v>53</v>
      </c>
      <c r="E6" s="198" t="s">
        <v>979</v>
      </c>
      <c r="F6" s="8"/>
      <c r="G6" s="198"/>
      <c r="H6" s="196"/>
      <c r="I6" s="196"/>
      <c r="J6" s="196"/>
      <c r="K6" s="196"/>
      <c r="L6" s="238" t="s">
        <v>1057</v>
      </c>
      <c r="M6" s="238" t="s">
        <v>1057</v>
      </c>
      <c r="N6" s="196"/>
      <c r="O6" s="196"/>
      <c r="P6" s="238" t="s">
        <v>1057</v>
      </c>
      <c r="Q6" s="196"/>
      <c r="R6" s="196"/>
      <c r="S6" s="196"/>
      <c r="T6" s="196"/>
      <c r="U6" s="196"/>
      <c r="V6" s="196"/>
      <c r="W6" s="196"/>
      <c r="X6" s="196"/>
      <c r="Y6" s="196"/>
      <c r="Z6" s="196"/>
      <c r="AA6" s="196"/>
      <c r="AB6" s="196"/>
      <c r="AC6" s="196"/>
      <c r="AD6" s="196"/>
      <c r="AE6" s="196"/>
      <c r="AF6" s="196"/>
      <c r="AG6" s="196"/>
      <c r="AH6" s="196"/>
      <c r="AI6" s="196"/>
    </row>
    <row r="7" spans="1:35">
      <c r="A7" s="8">
        <v>52229895</v>
      </c>
      <c r="B7" s="8" t="s">
        <v>736</v>
      </c>
      <c r="C7" s="8" t="s">
        <v>737</v>
      </c>
      <c r="D7" s="8" t="s">
        <v>738</v>
      </c>
      <c r="E7" s="8"/>
      <c r="F7" s="281" t="s">
        <v>1054</v>
      </c>
      <c r="G7" s="282"/>
      <c r="H7" s="282"/>
      <c r="I7" s="282"/>
      <c r="J7" s="282"/>
      <c r="K7" s="282"/>
      <c r="L7" s="282"/>
      <c r="M7" s="282"/>
      <c r="N7" s="282"/>
      <c r="O7" s="282"/>
      <c r="P7" s="282"/>
      <c r="Q7" s="282"/>
      <c r="R7" s="282"/>
      <c r="S7" s="282"/>
      <c r="T7" s="282"/>
      <c r="U7" s="282"/>
      <c r="V7" s="282"/>
      <c r="W7" s="282"/>
      <c r="X7" s="282"/>
      <c r="Y7" s="282"/>
      <c r="Z7" s="282"/>
      <c r="AA7" s="282"/>
      <c r="AB7" s="282"/>
      <c r="AC7" s="283"/>
      <c r="AD7" s="196"/>
      <c r="AE7" s="196"/>
      <c r="AF7" s="196"/>
      <c r="AG7" s="196"/>
      <c r="AH7" s="196"/>
      <c r="AI7" s="196"/>
    </row>
    <row r="8" spans="1:35">
      <c r="A8" s="8">
        <v>53048504</v>
      </c>
      <c r="B8" s="8" t="s">
        <v>756</v>
      </c>
      <c r="C8" s="8" t="s">
        <v>35</v>
      </c>
      <c r="D8" s="8" t="s">
        <v>322</v>
      </c>
      <c r="E8" s="194"/>
      <c r="F8" s="196"/>
      <c r="G8" s="196"/>
      <c r="H8" s="196"/>
      <c r="I8" s="196"/>
      <c r="J8" s="196"/>
      <c r="K8" s="196"/>
      <c r="L8" s="196"/>
      <c r="M8" s="196"/>
      <c r="N8" s="196"/>
      <c r="O8" s="196"/>
      <c r="P8" s="196"/>
      <c r="Q8" s="196"/>
      <c r="R8" s="196"/>
      <c r="S8" s="196"/>
      <c r="T8" s="196"/>
      <c r="U8" s="196"/>
      <c r="V8" s="196"/>
      <c r="W8" s="238" t="s">
        <v>1053</v>
      </c>
      <c r="X8" s="238" t="s">
        <v>1053</v>
      </c>
      <c r="Y8" s="238" t="s">
        <v>1067</v>
      </c>
      <c r="Z8" s="238" t="s">
        <v>1050</v>
      </c>
      <c r="AA8" s="196"/>
      <c r="AB8" s="196"/>
      <c r="AC8" s="196"/>
      <c r="AD8" s="196"/>
      <c r="AE8" s="196"/>
      <c r="AF8" s="196"/>
      <c r="AG8" s="196"/>
      <c r="AH8" s="196"/>
      <c r="AI8" s="196"/>
    </row>
  </sheetData>
  <mergeCells count="7">
    <mergeCell ref="F7:AC7"/>
    <mergeCell ref="F1:AI1"/>
    <mergeCell ref="A1:A2"/>
    <mergeCell ref="B1:B2"/>
    <mergeCell ref="C1:C2"/>
    <mergeCell ref="D1:D2"/>
    <mergeCell ref="E1:E2"/>
  </mergeCells>
  <conditionalFormatting sqref="A1 A3">
    <cfRule type="duplicateValues" dxfId="221" priority="113"/>
  </conditionalFormatting>
  <conditionalFormatting sqref="A4">
    <cfRule type="duplicateValues" dxfId="220" priority="5"/>
    <cfRule type="duplicateValues" dxfId="219" priority="6"/>
    <cfRule type="duplicateValues" dxfId="218" priority="7"/>
  </conditionalFormatting>
  <conditionalFormatting sqref="A5">
    <cfRule type="duplicateValues" dxfId="217" priority="20"/>
    <cfRule type="duplicateValues" dxfId="216" priority="21"/>
    <cfRule type="duplicateValues" dxfId="215" priority="22"/>
  </conditionalFormatting>
  <conditionalFormatting sqref="A6">
    <cfRule type="duplicateValues" dxfId="214" priority="1"/>
    <cfRule type="duplicateValues" dxfId="213" priority="2"/>
    <cfRule type="duplicateValues" dxfId="212" priority="3"/>
    <cfRule type="duplicateValues" dxfId="211" priority="4"/>
  </conditionalFormatting>
  <conditionalFormatting sqref="A7">
    <cfRule type="duplicateValues" dxfId="210" priority="17"/>
    <cfRule type="duplicateValues" dxfId="209" priority="18"/>
    <cfRule type="duplicateValues" dxfId="208" priority="19"/>
  </conditionalFormatting>
  <conditionalFormatting sqref="A8">
    <cfRule type="duplicateValues" dxfId="207" priority="14"/>
    <cfRule type="duplicateValues" dxfId="206" priority="15"/>
    <cfRule type="duplicateValues" dxfId="205" priority="16"/>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R137"/>
  <sheetViews>
    <sheetView topLeftCell="BA1" zoomScale="110" zoomScaleNormal="110" workbookViewId="0">
      <pane ySplit="1" topLeftCell="A127" activePane="bottomLeft" state="frozen"/>
      <selection activeCell="L5" sqref="L5"/>
      <selection pane="bottomLeft" activeCell="BM131" sqref="BM131"/>
    </sheetView>
  </sheetViews>
  <sheetFormatPr baseColWidth="10" defaultColWidth="11.375" defaultRowHeight="11.25"/>
  <cols>
    <col min="1" max="1" width="6.875" style="7" customWidth="1"/>
    <col min="2" max="2" width="19.75" style="7" customWidth="1"/>
    <col min="3" max="3" width="7" style="7" bestFit="1" customWidth="1"/>
    <col min="4" max="4" width="16.375" style="7" customWidth="1"/>
    <col min="5" max="5" width="14.125" style="1" customWidth="1"/>
    <col min="6" max="7" width="11.125" style="39" customWidth="1"/>
    <col min="8" max="8" width="11.375" style="39" customWidth="1"/>
    <col min="9" max="9" width="3.375" style="7" customWidth="1"/>
    <col min="10" max="10" width="13" style="7" customWidth="1"/>
    <col min="11" max="11" width="11.875" style="7" customWidth="1"/>
    <col min="12" max="14" width="11.375" style="7" customWidth="1"/>
    <col min="15" max="20" width="14.625" style="7" customWidth="1"/>
    <col min="21" max="22" width="12.75" style="7" customWidth="1"/>
    <col min="23" max="27" width="11.375" style="7" customWidth="1"/>
    <col min="28" max="28" width="12.375" style="7" customWidth="1"/>
    <col min="29" max="35" width="11.375" style="7" customWidth="1"/>
    <col min="36" max="36" width="3" style="7" customWidth="1"/>
    <col min="37" max="37" width="11.875" style="7" customWidth="1"/>
    <col min="38" max="47" width="11.625" style="7" customWidth="1"/>
    <col min="48" max="48" width="12.75" style="7" customWidth="1"/>
    <col min="49" max="60" width="11.625" style="7" customWidth="1"/>
    <col min="61" max="61" width="12" style="7" customWidth="1"/>
    <col min="62" max="63" width="11.375" style="40" customWidth="1"/>
    <col min="64" max="64" width="12" style="7" customWidth="1"/>
    <col min="65" max="66" width="11.375" style="7" customWidth="1"/>
    <col min="67" max="16384" width="11.375" style="7"/>
  </cols>
  <sheetData>
    <row r="1" spans="1:65" ht="67.5">
      <c r="A1" s="11" t="s">
        <v>441</v>
      </c>
      <c r="B1" s="11" t="s">
        <v>442</v>
      </c>
      <c r="C1" s="11" t="s">
        <v>438</v>
      </c>
      <c r="D1" s="11" t="s">
        <v>439</v>
      </c>
      <c r="E1" s="12" t="s">
        <v>435</v>
      </c>
      <c r="F1" s="13" t="s">
        <v>436</v>
      </c>
      <c r="G1" s="13" t="s">
        <v>437</v>
      </c>
      <c r="H1" s="14" t="s">
        <v>440</v>
      </c>
      <c r="J1" s="90" t="s">
        <v>680</v>
      </c>
      <c r="K1" s="240" t="s">
        <v>653</v>
      </c>
      <c r="L1" s="240" t="s">
        <v>654</v>
      </c>
      <c r="M1" s="240" t="s">
        <v>655</v>
      </c>
      <c r="N1" s="240" t="s">
        <v>656</v>
      </c>
      <c r="O1" s="240" t="s">
        <v>657</v>
      </c>
      <c r="P1" s="240" t="s">
        <v>658</v>
      </c>
      <c r="Q1" s="240" t="s">
        <v>659</v>
      </c>
      <c r="R1" s="240" t="s">
        <v>660</v>
      </c>
      <c r="S1" s="240" t="s">
        <v>661</v>
      </c>
      <c r="T1" s="240" t="s">
        <v>662</v>
      </c>
      <c r="U1" s="240" t="s">
        <v>663</v>
      </c>
      <c r="V1" s="240" t="s">
        <v>664</v>
      </c>
      <c r="W1" s="240" t="s">
        <v>665</v>
      </c>
      <c r="X1" s="240" t="s">
        <v>666</v>
      </c>
      <c r="Y1" s="240" t="s">
        <v>667</v>
      </c>
      <c r="Z1" s="240" t="s">
        <v>668</v>
      </c>
      <c r="AA1" s="15" t="s">
        <v>669</v>
      </c>
      <c r="AB1" s="240" t="s">
        <v>670</v>
      </c>
      <c r="AC1" s="240" t="s">
        <v>671</v>
      </c>
      <c r="AD1" s="240" t="s">
        <v>672</v>
      </c>
      <c r="AE1" s="240" t="s">
        <v>673</v>
      </c>
      <c r="AF1" s="240" t="s">
        <v>674</v>
      </c>
      <c r="AG1" s="240" t="s">
        <v>675</v>
      </c>
      <c r="AH1" s="240" t="s">
        <v>676</v>
      </c>
      <c r="AI1" s="240" t="s">
        <v>677</v>
      </c>
      <c r="AK1" s="16" t="s">
        <v>653</v>
      </c>
      <c r="AL1" s="16" t="s">
        <v>654</v>
      </c>
      <c r="AM1" s="16" t="s">
        <v>655</v>
      </c>
      <c r="AN1" s="16" t="s">
        <v>656</v>
      </c>
      <c r="AO1" s="16" t="s">
        <v>657</v>
      </c>
      <c r="AP1" s="16" t="s">
        <v>658</v>
      </c>
      <c r="AQ1" s="16" t="s">
        <v>659</v>
      </c>
      <c r="AR1" s="16" t="s">
        <v>660</v>
      </c>
      <c r="AS1" s="16" t="s">
        <v>661</v>
      </c>
      <c r="AT1" s="16" t="s">
        <v>662</v>
      </c>
      <c r="AU1" s="16" t="s">
        <v>663</v>
      </c>
      <c r="AV1" s="16" t="s">
        <v>664</v>
      </c>
      <c r="AW1" s="16" t="s">
        <v>665</v>
      </c>
      <c r="AX1" s="16" t="s">
        <v>666</v>
      </c>
      <c r="AY1" s="16" t="s">
        <v>667</v>
      </c>
      <c r="AZ1" s="16" t="s">
        <v>668</v>
      </c>
      <c r="BA1" s="16" t="s">
        <v>669</v>
      </c>
      <c r="BB1" s="16" t="s">
        <v>670</v>
      </c>
      <c r="BC1" s="16" t="s">
        <v>671</v>
      </c>
      <c r="BD1" s="16" t="s">
        <v>672</v>
      </c>
      <c r="BE1" s="16" t="s">
        <v>673</v>
      </c>
      <c r="BF1" s="16" t="s">
        <v>674</v>
      </c>
      <c r="BG1" s="16" t="s">
        <v>675</v>
      </c>
      <c r="BH1" s="16" t="s">
        <v>676</v>
      </c>
      <c r="BI1" s="16" t="s">
        <v>677</v>
      </c>
      <c r="BJ1" s="17" t="s">
        <v>441</v>
      </c>
      <c r="BK1" s="17" t="s">
        <v>442</v>
      </c>
      <c r="BL1" s="18"/>
    </row>
    <row r="2" spans="1:65" ht="22.5">
      <c r="A2" s="10" t="s">
        <v>443</v>
      </c>
      <c r="B2" s="19" t="s">
        <v>444</v>
      </c>
      <c r="C2" s="66">
        <v>1</v>
      </c>
      <c r="D2" s="20" t="s">
        <v>445</v>
      </c>
      <c r="E2" s="41">
        <v>7862.55</v>
      </c>
      <c r="F2" s="21">
        <f t="shared" ref="F2:F33" si="0">+E2*10%</f>
        <v>786.25500000000011</v>
      </c>
      <c r="G2" s="21">
        <f t="shared" ref="G2:G33" si="1">+F2*19%</f>
        <v>149.38845000000003</v>
      </c>
      <c r="H2" s="21">
        <f t="shared" ref="H2:H33" si="2">+E2+F2+G2</f>
        <v>8798.1934500000007</v>
      </c>
      <c r="J2" s="10">
        <f t="shared" ref="J2:J65" si="3">SUM(K2:AI2)</f>
        <v>86</v>
      </c>
      <c r="K2" s="10">
        <f>45+3</f>
        <v>48</v>
      </c>
      <c r="L2" s="10">
        <v>3</v>
      </c>
      <c r="M2" s="10">
        <v>3</v>
      </c>
      <c r="N2" s="242"/>
      <c r="O2" s="10">
        <v>3</v>
      </c>
      <c r="P2" s="10"/>
      <c r="Q2" s="10">
        <v>5</v>
      </c>
      <c r="R2" s="10"/>
      <c r="S2" s="10">
        <v>2</v>
      </c>
      <c r="T2" s="10">
        <v>3</v>
      </c>
      <c r="U2" s="10">
        <v>3</v>
      </c>
      <c r="V2" s="10"/>
      <c r="W2" s="10"/>
      <c r="X2" s="10"/>
      <c r="Y2" s="10">
        <v>3</v>
      </c>
      <c r="Z2" s="10"/>
      <c r="AA2" s="10">
        <v>3</v>
      </c>
      <c r="AB2" s="10">
        <v>5</v>
      </c>
      <c r="AC2" s="10"/>
      <c r="AD2" s="10"/>
      <c r="AE2" s="10">
        <v>3</v>
      </c>
      <c r="AF2" s="10">
        <v>2</v>
      </c>
      <c r="AG2" s="10"/>
      <c r="AH2" s="10"/>
      <c r="AI2" s="10"/>
      <c r="AK2" s="22">
        <f t="shared" ref="AK2" si="4">+K2*$H2</f>
        <v>422313.28560000006</v>
      </c>
      <c r="AL2" s="22">
        <f t="shared" ref="AL2" si="5">+L2*$H2</f>
        <v>26394.580350000004</v>
      </c>
      <c r="AM2" s="22">
        <f t="shared" ref="AM2" si="6">+M2*$H2</f>
        <v>26394.580350000004</v>
      </c>
      <c r="AN2" s="22">
        <f t="shared" ref="AN2" si="7">+N2*$H2</f>
        <v>0</v>
      </c>
      <c r="AO2" s="22">
        <f t="shared" ref="AO2" si="8">+O2*$H2</f>
        <v>26394.580350000004</v>
      </c>
      <c r="AP2" s="22">
        <f t="shared" ref="AP2" si="9">+P2*$H2</f>
        <v>0</v>
      </c>
      <c r="AQ2" s="22">
        <f t="shared" ref="AQ2" si="10">+Q2*$H2</f>
        <v>43990.967250000002</v>
      </c>
      <c r="AR2" s="22">
        <f t="shared" ref="AR2" si="11">+R2*$H2</f>
        <v>0</v>
      </c>
      <c r="AS2" s="22">
        <f t="shared" ref="AS2" si="12">+S2*$H2</f>
        <v>17596.386900000001</v>
      </c>
      <c r="AT2" s="22">
        <f t="shared" ref="AT2" si="13">+T2*$H2</f>
        <v>26394.580350000004</v>
      </c>
      <c r="AU2" s="22">
        <f t="shared" ref="AU2" si="14">+U2*$H2</f>
        <v>26394.580350000004</v>
      </c>
      <c r="AV2" s="22">
        <f t="shared" ref="AV2" si="15">+V2*$H2</f>
        <v>0</v>
      </c>
      <c r="AW2" s="22">
        <f t="shared" ref="AW2" si="16">+W2*$H2</f>
        <v>0</v>
      </c>
      <c r="AX2" s="22">
        <f t="shared" ref="AX2" si="17">+X2*$H2</f>
        <v>0</v>
      </c>
      <c r="AY2" s="22">
        <f t="shared" ref="AY2" si="18">+Y2*$H2</f>
        <v>26394.580350000004</v>
      </c>
      <c r="AZ2" s="22">
        <f t="shared" ref="AZ2" si="19">+Z2*$H2</f>
        <v>0</v>
      </c>
      <c r="BA2" s="22">
        <f t="shared" ref="BA2" si="20">+AA2*$H2</f>
        <v>26394.580350000004</v>
      </c>
      <c r="BB2" s="22">
        <f t="shared" ref="BB2" si="21">+AB2*$H2</f>
        <v>43990.967250000002</v>
      </c>
      <c r="BC2" s="22">
        <f t="shared" ref="BC2" si="22">+AC2*$H2</f>
        <v>0</v>
      </c>
      <c r="BD2" s="22">
        <f t="shared" ref="BD2" si="23">+AD2*$H2</f>
        <v>0</v>
      </c>
      <c r="BE2" s="22">
        <f t="shared" ref="BE2" si="24">+AE2*$H2</f>
        <v>26394.580350000004</v>
      </c>
      <c r="BF2" s="22">
        <f t="shared" ref="BF2" si="25">+AF2*$H2</f>
        <v>17596.386900000001</v>
      </c>
      <c r="BG2" s="22">
        <f t="shared" ref="BG2" si="26">+AG2*$H2</f>
        <v>0</v>
      </c>
      <c r="BH2" s="22">
        <f t="shared" ref="BH2" si="27">+AH2*$H2</f>
        <v>0</v>
      </c>
      <c r="BI2" s="22">
        <f t="shared" ref="BI2" si="28">+AI2*$H2</f>
        <v>0</v>
      </c>
      <c r="BJ2" s="19" t="s">
        <v>443</v>
      </c>
      <c r="BK2" s="19" t="s">
        <v>444</v>
      </c>
      <c r="BL2" s="43">
        <f t="shared" ref="BL2" si="29">+H2*J2</f>
        <v>756644.63670000003</v>
      </c>
      <c r="BM2" s="39">
        <f>+E2*J2</f>
        <v>676179.3</v>
      </c>
    </row>
    <row r="3" spans="1:65" ht="22.5">
      <c r="A3" s="10" t="s">
        <v>446</v>
      </c>
      <c r="B3" s="23" t="s">
        <v>447</v>
      </c>
      <c r="C3" s="66">
        <v>5</v>
      </c>
      <c r="D3" s="20" t="s">
        <v>448</v>
      </c>
      <c r="E3" s="41">
        <v>1569.24</v>
      </c>
      <c r="F3" s="21">
        <f t="shared" si="0"/>
        <v>156.92400000000001</v>
      </c>
      <c r="G3" s="21">
        <f t="shared" si="1"/>
        <v>29.815560000000001</v>
      </c>
      <c r="H3" s="21">
        <f t="shared" si="2"/>
        <v>1755.97956</v>
      </c>
      <c r="J3" s="10">
        <f t="shared" si="3"/>
        <v>53</v>
      </c>
      <c r="K3" s="10">
        <f>10+3</f>
        <v>13</v>
      </c>
      <c r="L3" s="10">
        <v>3</v>
      </c>
      <c r="M3" s="10"/>
      <c r="N3" s="242"/>
      <c r="O3" s="10">
        <v>3</v>
      </c>
      <c r="P3" s="10"/>
      <c r="Q3" s="10">
        <v>6</v>
      </c>
      <c r="R3" s="10"/>
      <c r="S3" s="10">
        <v>3</v>
      </c>
      <c r="T3" s="10">
        <v>3</v>
      </c>
      <c r="U3" s="10">
        <v>2</v>
      </c>
      <c r="V3" s="10">
        <v>5</v>
      </c>
      <c r="W3" s="10">
        <v>3</v>
      </c>
      <c r="X3" s="10"/>
      <c r="Y3" s="10">
        <v>3</v>
      </c>
      <c r="Z3" s="10"/>
      <c r="AA3" s="10">
        <v>3</v>
      </c>
      <c r="AB3" s="10"/>
      <c r="AC3" s="10"/>
      <c r="AD3" s="10"/>
      <c r="AE3" s="10">
        <v>3</v>
      </c>
      <c r="AF3" s="10"/>
      <c r="AG3" s="10"/>
      <c r="AH3" s="10"/>
      <c r="AI3" s="10">
        <v>3</v>
      </c>
      <c r="AK3" s="22">
        <f t="shared" ref="AK3:AK66" si="30">+K3*$H3</f>
        <v>22827.734280000001</v>
      </c>
      <c r="AL3" s="22">
        <f t="shared" ref="AL3:AL66" si="31">+L3*$H3</f>
        <v>5267.9386800000002</v>
      </c>
      <c r="AM3" s="22">
        <f t="shared" ref="AM3:AM66" si="32">+M3*$H3</f>
        <v>0</v>
      </c>
      <c r="AN3" s="22">
        <f t="shared" ref="AN3:AN66" si="33">+N3*$H3</f>
        <v>0</v>
      </c>
      <c r="AO3" s="22">
        <f t="shared" ref="AO3:AO66" si="34">+O3*$H3</f>
        <v>5267.9386800000002</v>
      </c>
      <c r="AP3" s="22">
        <f t="shared" ref="AP3:AP66" si="35">+P3*$H3</f>
        <v>0</v>
      </c>
      <c r="AQ3" s="22">
        <f t="shared" ref="AQ3:AQ66" si="36">+Q3*$H3</f>
        <v>10535.87736</v>
      </c>
      <c r="AR3" s="22">
        <f t="shared" ref="AR3:AR66" si="37">+R3*$H3</f>
        <v>0</v>
      </c>
      <c r="AS3" s="22">
        <f t="shared" ref="AS3:AS66" si="38">+S3*$H3</f>
        <v>5267.9386800000002</v>
      </c>
      <c r="AT3" s="22">
        <f t="shared" ref="AT3:AT66" si="39">+T3*$H3</f>
        <v>5267.9386800000002</v>
      </c>
      <c r="AU3" s="22">
        <f t="shared" ref="AU3:AU66" si="40">+U3*$H3</f>
        <v>3511.95912</v>
      </c>
      <c r="AV3" s="22">
        <f t="shared" ref="AV3:AV66" si="41">+V3*$H3</f>
        <v>8779.8978000000006</v>
      </c>
      <c r="AW3" s="22">
        <f t="shared" ref="AW3:AW66" si="42">+W3*$H3</f>
        <v>5267.9386800000002</v>
      </c>
      <c r="AX3" s="22">
        <f t="shared" ref="AX3:AX66" si="43">+X3*$H3</f>
        <v>0</v>
      </c>
      <c r="AY3" s="22">
        <f t="shared" ref="AY3:AY66" si="44">+Y3*$H3</f>
        <v>5267.9386800000002</v>
      </c>
      <c r="AZ3" s="22">
        <f t="shared" ref="AZ3:AZ66" si="45">+Z3*$H3</f>
        <v>0</v>
      </c>
      <c r="BA3" s="22">
        <f t="shared" ref="BA3:BA66" si="46">+AA3*$H3</f>
        <v>5267.9386800000002</v>
      </c>
      <c r="BB3" s="22">
        <f t="shared" ref="BB3:BB66" si="47">+AB3*$H3</f>
        <v>0</v>
      </c>
      <c r="BC3" s="22">
        <f t="shared" ref="BC3:BC66" si="48">+AC3*$H3</f>
        <v>0</v>
      </c>
      <c r="BD3" s="22">
        <f t="shared" ref="BD3:BD66" si="49">+AD3*$H3</f>
        <v>0</v>
      </c>
      <c r="BE3" s="22">
        <f t="shared" ref="BE3:BE66" si="50">+AE3*$H3</f>
        <v>5267.9386800000002</v>
      </c>
      <c r="BF3" s="22">
        <f t="shared" ref="BF3:BF66" si="51">+AF3*$H3</f>
        <v>0</v>
      </c>
      <c r="BG3" s="22">
        <f t="shared" ref="BG3:BG66" si="52">+AG3*$H3</f>
        <v>0</v>
      </c>
      <c r="BH3" s="22">
        <f t="shared" ref="BH3:BH66" si="53">+AH3*$H3</f>
        <v>0</v>
      </c>
      <c r="BI3" s="22">
        <f t="shared" ref="BI3:BI66" si="54">+AI3*$H3</f>
        <v>5267.9386800000002</v>
      </c>
      <c r="BJ3" s="19" t="s">
        <v>446</v>
      </c>
      <c r="BK3" s="23" t="s">
        <v>447</v>
      </c>
      <c r="BL3" s="43">
        <f t="shared" ref="BL3:BL66" si="55">+H3*J3</f>
        <v>93066.916679999995</v>
      </c>
      <c r="BM3" s="39">
        <f t="shared" ref="BM3:BM66" si="56">+E3*J3</f>
        <v>83169.72</v>
      </c>
    </row>
    <row r="4" spans="1:65" ht="22.5">
      <c r="A4" s="10" t="s">
        <v>449</v>
      </c>
      <c r="B4" s="23" t="s">
        <v>450</v>
      </c>
      <c r="C4" s="66">
        <v>7</v>
      </c>
      <c r="D4" s="20" t="s">
        <v>451</v>
      </c>
      <c r="E4" s="41">
        <v>2142.63</v>
      </c>
      <c r="F4" s="21">
        <f t="shared" si="0"/>
        <v>214.26300000000003</v>
      </c>
      <c r="G4" s="21">
        <f t="shared" si="1"/>
        <v>40.709970000000006</v>
      </c>
      <c r="H4" s="21">
        <f t="shared" si="2"/>
        <v>2397.6029699999999</v>
      </c>
      <c r="J4" s="10">
        <f t="shared" si="3"/>
        <v>36</v>
      </c>
      <c r="K4" s="10">
        <v>5</v>
      </c>
      <c r="L4" s="10">
        <v>3</v>
      </c>
      <c r="M4" s="10"/>
      <c r="N4" s="242"/>
      <c r="O4" s="10">
        <v>3</v>
      </c>
      <c r="P4" s="10"/>
      <c r="Q4" s="10">
        <v>3</v>
      </c>
      <c r="R4" s="10"/>
      <c r="S4" s="10">
        <v>3</v>
      </c>
      <c r="T4" s="10">
        <v>3</v>
      </c>
      <c r="U4" s="10">
        <v>3</v>
      </c>
      <c r="V4" s="10">
        <v>4</v>
      </c>
      <c r="W4" s="10"/>
      <c r="X4" s="10"/>
      <c r="Y4" s="10">
        <v>3</v>
      </c>
      <c r="Z4" s="10"/>
      <c r="AA4" s="10">
        <v>3</v>
      </c>
      <c r="AB4" s="10"/>
      <c r="AC4" s="10"/>
      <c r="AD4" s="10"/>
      <c r="AE4" s="10">
        <v>1</v>
      </c>
      <c r="AF4" s="10"/>
      <c r="AG4" s="10">
        <v>2</v>
      </c>
      <c r="AH4" s="10"/>
      <c r="AI4" s="10"/>
      <c r="AK4" s="22">
        <f t="shared" si="30"/>
        <v>11988.01485</v>
      </c>
      <c r="AL4" s="22">
        <f t="shared" si="31"/>
        <v>7192.8089099999997</v>
      </c>
      <c r="AM4" s="22">
        <f t="shared" si="32"/>
        <v>0</v>
      </c>
      <c r="AN4" s="22">
        <f t="shared" si="33"/>
        <v>0</v>
      </c>
      <c r="AO4" s="22">
        <f t="shared" si="34"/>
        <v>7192.8089099999997</v>
      </c>
      <c r="AP4" s="22">
        <f t="shared" si="35"/>
        <v>0</v>
      </c>
      <c r="AQ4" s="22">
        <f t="shared" si="36"/>
        <v>7192.8089099999997</v>
      </c>
      <c r="AR4" s="22">
        <f t="shared" si="37"/>
        <v>0</v>
      </c>
      <c r="AS4" s="22">
        <f t="shared" si="38"/>
        <v>7192.8089099999997</v>
      </c>
      <c r="AT4" s="22">
        <f t="shared" si="39"/>
        <v>7192.8089099999997</v>
      </c>
      <c r="AU4" s="22">
        <f t="shared" si="40"/>
        <v>7192.8089099999997</v>
      </c>
      <c r="AV4" s="22">
        <f t="shared" si="41"/>
        <v>9590.4118799999997</v>
      </c>
      <c r="AW4" s="22">
        <f t="shared" si="42"/>
        <v>0</v>
      </c>
      <c r="AX4" s="22">
        <f t="shared" si="43"/>
        <v>0</v>
      </c>
      <c r="AY4" s="22">
        <f t="shared" si="44"/>
        <v>7192.8089099999997</v>
      </c>
      <c r="AZ4" s="22">
        <f t="shared" si="45"/>
        <v>0</v>
      </c>
      <c r="BA4" s="22">
        <f t="shared" si="46"/>
        <v>7192.8089099999997</v>
      </c>
      <c r="BB4" s="22">
        <f t="shared" si="47"/>
        <v>0</v>
      </c>
      <c r="BC4" s="22">
        <f t="shared" si="48"/>
        <v>0</v>
      </c>
      <c r="BD4" s="22">
        <f t="shared" si="49"/>
        <v>0</v>
      </c>
      <c r="BE4" s="22">
        <f t="shared" si="50"/>
        <v>2397.6029699999999</v>
      </c>
      <c r="BF4" s="22">
        <f t="shared" si="51"/>
        <v>0</v>
      </c>
      <c r="BG4" s="22">
        <f t="shared" si="52"/>
        <v>4795.2059399999998</v>
      </c>
      <c r="BH4" s="22">
        <f t="shared" si="53"/>
        <v>0</v>
      </c>
      <c r="BI4" s="22">
        <f t="shared" si="54"/>
        <v>0</v>
      </c>
      <c r="BJ4" s="19" t="s">
        <v>449</v>
      </c>
      <c r="BK4" s="23" t="s">
        <v>450</v>
      </c>
      <c r="BL4" s="43">
        <f t="shared" si="55"/>
        <v>86313.706919999997</v>
      </c>
      <c r="BM4" s="39">
        <f t="shared" si="56"/>
        <v>77134.680000000008</v>
      </c>
    </row>
    <row r="5" spans="1:65" ht="22.5">
      <c r="A5" s="10" t="s">
        <v>452</v>
      </c>
      <c r="B5" s="19" t="s">
        <v>453</v>
      </c>
      <c r="C5" s="66">
        <v>11</v>
      </c>
      <c r="D5" s="20" t="s">
        <v>454</v>
      </c>
      <c r="E5" s="41">
        <v>1251.04</v>
      </c>
      <c r="F5" s="21">
        <f t="shared" si="0"/>
        <v>125.104</v>
      </c>
      <c r="G5" s="21">
        <f t="shared" si="1"/>
        <v>23.769760000000002</v>
      </c>
      <c r="H5" s="21">
        <f t="shared" si="2"/>
        <v>1399.9137599999999</v>
      </c>
      <c r="J5" s="10">
        <f t="shared" si="3"/>
        <v>89</v>
      </c>
      <c r="K5" s="10">
        <f>50+2</f>
        <v>52</v>
      </c>
      <c r="L5" s="10">
        <v>3</v>
      </c>
      <c r="M5" s="10"/>
      <c r="N5" s="242"/>
      <c r="O5" s="10">
        <v>8</v>
      </c>
      <c r="P5" s="10"/>
      <c r="Q5" s="10">
        <v>3</v>
      </c>
      <c r="R5" s="10"/>
      <c r="S5" s="10">
        <v>3</v>
      </c>
      <c r="T5" s="10">
        <v>3</v>
      </c>
      <c r="U5" s="10">
        <v>2</v>
      </c>
      <c r="V5" s="10"/>
      <c r="W5" s="10"/>
      <c r="X5" s="10"/>
      <c r="Y5" s="10">
        <v>3</v>
      </c>
      <c r="Z5" s="10"/>
      <c r="AA5" s="10">
        <v>3</v>
      </c>
      <c r="AB5" s="10">
        <v>6</v>
      </c>
      <c r="AC5" s="10"/>
      <c r="AD5" s="10"/>
      <c r="AE5" s="10">
        <v>3</v>
      </c>
      <c r="AF5" s="10"/>
      <c r="AG5" s="10"/>
      <c r="AH5" s="10"/>
      <c r="AI5" s="10"/>
      <c r="AK5" s="22">
        <f t="shared" si="30"/>
        <v>72795.515520000001</v>
      </c>
      <c r="AL5" s="22">
        <f t="shared" si="31"/>
        <v>4199.7412800000002</v>
      </c>
      <c r="AM5" s="22">
        <f t="shared" si="32"/>
        <v>0</v>
      </c>
      <c r="AN5" s="22">
        <f t="shared" si="33"/>
        <v>0</v>
      </c>
      <c r="AO5" s="22">
        <f t="shared" si="34"/>
        <v>11199.310079999999</v>
      </c>
      <c r="AP5" s="22">
        <f t="shared" si="35"/>
        <v>0</v>
      </c>
      <c r="AQ5" s="22">
        <f t="shared" si="36"/>
        <v>4199.7412800000002</v>
      </c>
      <c r="AR5" s="22">
        <f t="shared" si="37"/>
        <v>0</v>
      </c>
      <c r="AS5" s="22">
        <f t="shared" si="38"/>
        <v>4199.7412800000002</v>
      </c>
      <c r="AT5" s="22">
        <f t="shared" si="39"/>
        <v>4199.7412800000002</v>
      </c>
      <c r="AU5" s="22">
        <f t="shared" si="40"/>
        <v>2799.8275199999998</v>
      </c>
      <c r="AV5" s="22">
        <f t="shared" si="41"/>
        <v>0</v>
      </c>
      <c r="AW5" s="22">
        <f t="shared" si="42"/>
        <v>0</v>
      </c>
      <c r="AX5" s="22">
        <f t="shared" si="43"/>
        <v>0</v>
      </c>
      <c r="AY5" s="22">
        <f t="shared" si="44"/>
        <v>4199.7412800000002</v>
      </c>
      <c r="AZ5" s="22">
        <f t="shared" si="45"/>
        <v>0</v>
      </c>
      <c r="BA5" s="22">
        <f t="shared" si="46"/>
        <v>4199.7412800000002</v>
      </c>
      <c r="BB5" s="22">
        <f t="shared" si="47"/>
        <v>8399.4825600000004</v>
      </c>
      <c r="BC5" s="22">
        <f t="shared" si="48"/>
        <v>0</v>
      </c>
      <c r="BD5" s="22">
        <f t="shared" si="49"/>
        <v>0</v>
      </c>
      <c r="BE5" s="22">
        <f t="shared" si="50"/>
        <v>4199.7412800000002</v>
      </c>
      <c r="BF5" s="22">
        <f t="shared" si="51"/>
        <v>0</v>
      </c>
      <c r="BG5" s="22">
        <f t="shared" si="52"/>
        <v>0</v>
      </c>
      <c r="BH5" s="22">
        <f t="shared" si="53"/>
        <v>0</v>
      </c>
      <c r="BI5" s="22">
        <f t="shared" si="54"/>
        <v>0</v>
      </c>
      <c r="BJ5" s="19" t="s">
        <v>452</v>
      </c>
      <c r="BK5" s="19" t="s">
        <v>453</v>
      </c>
      <c r="BL5" s="43">
        <f t="shared" si="55"/>
        <v>124592.32463999999</v>
      </c>
      <c r="BM5" s="39">
        <f t="shared" si="56"/>
        <v>111342.56</v>
      </c>
    </row>
    <row r="6" spans="1:65" ht="22.5">
      <c r="A6" s="10" t="s">
        <v>455</v>
      </c>
      <c r="B6" s="24" t="s">
        <v>456</v>
      </c>
      <c r="C6" s="66">
        <v>15</v>
      </c>
      <c r="D6" s="20" t="s">
        <v>457</v>
      </c>
      <c r="E6" s="41">
        <v>4566.13</v>
      </c>
      <c r="F6" s="21">
        <f t="shared" si="0"/>
        <v>456.61300000000006</v>
      </c>
      <c r="G6" s="21">
        <f t="shared" si="1"/>
        <v>86.756470000000007</v>
      </c>
      <c r="H6" s="21">
        <f t="shared" si="2"/>
        <v>5109.4994700000007</v>
      </c>
      <c r="J6" s="10">
        <f t="shared" si="3"/>
        <v>51</v>
      </c>
      <c r="K6" s="10">
        <v>18</v>
      </c>
      <c r="L6" s="10"/>
      <c r="M6" s="10"/>
      <c r="N6" s="242"/>
      <c r="O6" s="10">
        <v>4</v>
      </c>
      <c r="P6" s="10"/>
      <c r="Q6" s="10">
        <v>6</v>
      </c>
      <c r="R6" s="10"/>
      <c r="S6" s="10"/>
      <c r="T6" s="10"/>
      <c r="U6" s="10">
        <v>2</v>
      </c>
      <c r="V6" s="10"/>
      <c r="W6" s="10"/>
      <c r="X6" s="10"/>
      <c r="Y6" s="10">
        <v>4</v>
      </c>
      <c r="Z6" s="10"/>
      <c r="AA6" s="10">
        <v>4</v>
      </c>
      <c r="AB6" s="10">
        <v>5</v>
      </c>
      <c r="AC6" s="10"/>
      <c r="AD6" s="10"/>
      <c r="AE6" s="10">
        <v>1</v>
      </c>
      <c r="AF6" s="10">
        <v>2</v>
      </c>
      <c r="AG6" s="10">
        <v>3</v>
      </c>
      <c r="AH6" s="10">
        <v>2</v>
      </c>
      <c r="AI6" s="10"/>
      <c r="AK6" s="22">
        <f t="shared" si="30"/>
        <v>91970.990460000015</v>
      </c>
      <c r="AL6" s="22">
        <f t="shared" si="31"/>
        <v>0</v>
      </c>
      <c r="AM6" s="22">
        <f t="shared" si="32"/>
        <v>0</v>
      </c>
      <c r="AN6" s="22">
        <f t="shared" si="33"/>
        <v>0</v>
      </c>
      <c r="AO6" s="22">
        <f t="shared" si="34"/>
        <v>20437.997880000003</v>
      </c>
      <c r="AP6" s="22">
        <f t="shared" si="35"/>
        <v>0</v>
      </c>
      <c r="AQ6" s="22">
        <f t="shared" si="36"/>
        <v>30656.996820000004</v>
      </c>
      <c r="AR6" s="22">
        <f t="shared" si="37"/>
        <v>0</v>
      </c>
      <c r="AS6" s="22">
        <f t="shared" si="38"/>
        <v>0</v>
      </c>
      <c r="AT6" s="22">
        <f t="shared" si="39"/>
        <v>0</v>
      </c>
      <c r="AU6" s="22">
        <f t="shared" si="40"/>
        <v>10218.998940000001</v>
      </c>
      <c r="AV6" s="22">
        <f t="shared" si="41"/>
        <v>0</v>
      </c>
      <c r="AW6" s="22">
        <f t="shared" si="42"/>
        <v>0</v>
      </c>
      <c r="AX6" s="22">
        <f t="shared" si="43"/>
        <v>0</v>
      </c>
      <c r="AY6" s="22">
        <f t="shared" si="44"/>
        <v>20437.997880000003</v>
      </c>
      <c r="AZ6" s="22">
        <f t="shared" si="45"/>
        <v>0</v>
      </c>
      <c r="BA6" s="22">
        <f t="shared" si="46"/>
        <v>20437.997880000003</v>
      </c>
      <c r="BB6" s="22">
        <f t="shared" si="47"/>
        <v>25547.497350000005</v>
      </c>
      <c r="BC6" s="22">
        <f t="shared" si="48"/>
        <v>0</v>
      </c>
      <c r="BD6" s="22">
        <f t="shared" si="49"/>
        <v>0</v>
      </c>
      <c r="BE6" s="22">
        <f t="shared" si="50"/>
        <v>5109.4994700000007</v>
      </c>
      <c r="BF6" s="22">
        <f t="shared" si="51"/>
        <v>10218.998940000001</v>
      </c>
      <c r="BG6" s="22">
        <f t="shared" si="52"/>
        <v>15328.498410000002</v>
      </c>
      <c r="BH6" s="22">
        <f t="shared" si="53"/>
        <v>10218.998940000001</v>
      </c>
      <c r="BI6" s="22">
        <f t="shared" si="54"/>
        <v>0</v>
      </c>
      <c r="BJ6" s="19" t="s">
        <v>455</v>
      </c>
      <c r="BK6" s="25" t="s">
        <v>456</v>
      </c>
      <c r="BL6" s="43">
        <f t="shared" si="55"/>
        <v>260584.47297000003</v>
      </c>
      <c r="BM6" s="39">
        <f t="shared" si="56"/>
        <v>232872.63</v>
      </c>
    </row>
    <row r="7" spans="1:65" ht="22.5">
      <c r="A7" s="10" t="s">
        <v>458</v>
      </c>
      <c r="B7" s="10" t="s">
        <v>459</v>
      </c>
      <c r="C7" s="66">
        <v>19</v>
      </c>
      <c r="D7" s="20" t="s">
        <v>460</v>
      </c>
      <c r="E7" s="41">
        <v>5828.06</v>
      </c>
      <c r="F7" s="21">
        <f t="shared" si="0"/>
        <v>582.80600000000004</v>
      </c>
      <c r="G7" s="21">
        <f t="shared" si="1"/>
        <v>110.73314000000001</v>
      </c>
      <c r="H7" s="21">
        <f t="shared" si="2"/>
        <v>6521.5991400000003</v>
      </c>
      <c r="J7" s="10">
        <f t="shared" si="3"/>
        <v>76</v>
      </c>
      <c r="K7" s="10">
        <v>45</v>
      </c>
      <c r="L7" s="10">
        <v>3</v>
      </c>
      <c r="M7" s="10"/>
      <c r="N7" s="242"/>
      <c r="O7" s="10">
        <v>5</v>
      </c>
      <c r="P7" s="10"/>
      <c r="Q7" s="10">
        <v>3</v>
      </c>
      <c r="R7" s="10"/>
      <c r="S7" s="10">
        <v>3</v>
      </c>
      <c r="T7" s="10"/>
      <c r="U7" s="10">
        <v>3</v>
      </c>
      <c r="V7" s="10"/>
      <c r="W7" s="10"/>
      <c r="X7" s="10"/>
      <c r="Y7" s="10">
        <v>3</v>
      </c>
      <c r="Z7" s="10"/>
      <c r="AA7" s="10">
        <v>3</v>
      </c>
      <c r="AB7" s="10">
        <v>4</v>
      </c>
      <c r="AC7" s="10"/>
      <c r="AD7" s="10"/>
      <c r="AE7" s="10">
        <v>1</v>
      </c>
      <c r="AF7" s="10"/>
      <c r="AG7" s="10">
        <v>3</v>
      </c>
      <c r="AH7" s="10"/>
      <c r="AI7" s="10"/>
      <c r="AK7" s="22">
        <f t="shared" si="30"/>
        <v>293471.96130000002</v>
      </c>
      <c r="AL7" s="22">
        <f t="shared" si="31"/>
        <v>19564.797420000003</v>
      </c>
      <c r="AM7" s="22">
        <f t="shared" si="32"/>
        <v>0</v>
      </c>
      <c r="AN7" s="22">
        <f t="shared" si="33"/>
        <v>0</v>
      </c>
      <c r="AO7" s="22">
        <f t="shared" si="34"/>
        <v>32607.995699999999</v>
      </c>
      <c r="AP7" s="22">
        <f t="shared" si="35"/>
        <v>0</v>
      </c>
      <c r="AQ7" s="22">
        <f t="shared" si="36"/>
        <v>19564.797420000003</v>
      </c>
      <c r="AR7" s="22">
        <f t="shared" si="37"/>
        <v>0</v>
      </c>
      <c r="AS7" s="22">
        <f t="shared" si="38"/>
        <v>19564.797420000003</v>
      </c>
      <c r="AT7" s="22">
        <f t="shared" si="39"/>
        <v>0</v>
      </c>
      <c r="AU7" s="22">
        <f t="shared" si="40"/>
        <v>19564.797420000003</v>
      </c>
      <c r="AV7" s="22">
        <f t="shared" si="41"/>
        <v>0</v>
      </c>
      <c r="AW7" s="22">
        <f t="shared" si="42"/>
        <v>0</v>
      </c>
      <c r="AX7" s="22">
        <f t="shared" si="43"/>
        <v>0</v>
      </c>
      <c r="AY7" s="22">
        <f t="shared" si="44"/>
        <v>19564.797420000003</v>
      </c>
      <c r="AZ7" s="22">
        <f t="shared" si="45"/>
        <v>0</v>
      </c>
      <c r="BA7" s="22">
        <f t="shared" si="46"/>
        <v>19564.797420000003</v>
      </c>
      <c r="BB7" s="22">
        <f t="shared" si="47"/>
        <v>26086.396560000001</v>
      </c>
      <c r="BC7" s="22">
        <f t="shared" si="48"/>
        <v>0</v>
      </c>
      <c r="BD7" s="22">
        <f t="shared" si="49"/>
        <v>0</v>
      </c>
      <c r="BE7" s="22">
        <f t="shared" si="50"/>
        <v>6521.5991400000003</v>
      </c>
      <c r="BF7" s="22">
        <f t="shared" si="51"/>
        <v>0</v>
      </c>
      <c r="BG7" s="22">
        <f t="shared" si="52"/>
        <v>19564.797420000003</v>
      </c>
      <c r="BH7" s="22">
        <f t="shared" si="53"/>
        <v>0</v>
      </c>
      <c r="BI7" s="22">
        <f t="shared" si="54"/>
        <v>0</v>
      </c>
      <c r="BJ7" s="19" t="s">
        <v>458</v>
      </c>
      <c r="BK7" s="19" t="s">
        <v>459</v>
      </c>
      <c r="BL7" s="43">
        <f t="shared" si="55"/>
        <v>495641.53464000003</v>
      </c>
      <c r="BM7" s="39">
        <f t="shared" si="56"/>
        <v>442932.56000000006</v>
      </c>
    </row>
    <row r="8" spans="1:65" ht="22.5">
      <c r="A8" s="10" t="s">
        <v>461</v>
      </c>
      <c r="B8" s="10" t="s">
        <v>462</v>
      </c>
      <c r="C8" s="66">
        <v>21</v>
      </c>
      <c r="D8" s="20" t="s">
        <v>463</v>
      </c>
      <c r="E8" s="41">
        <v>3557.83</v>
      </c>
      <c r="F8" s="21">
        <f t="shared" si="0"/>
        <v>355.78300000000002</v>
      </c>
      <c r="G8" s="21">
        <f t="shared" si="1"/>
        <v>67.598770000000002</v>
      </c>
      <c r="H8" s="21">
        <f t="shared" si="2"/>
        <v>3981.2117699999999</v>
      </c>
      <c r="J8" s="10">
        <f t="shared" si="3"/>
        <v>41</v>
      </c>
      <c r="K8" s="10">
        <v>5</v>
      </c>
      <c r="L8" s="10"/>
      <c r="M8" s="10"/>
      <c r="N8" s="242"/>
      <c r="O8" s="10">
        <v>4</v>
      </c>
      <c r="P8" s="10"/>
      <c r="Q8" s="10">
        <v>5</v>
      </c>
      <c r="R8" s="10"/>
      <c r="S8" s="10">
        <v>3</v>
      </c>
      <c r="T8" s="10">
        <v>3</v>
      </c>
      <c r="U8" s="10">
        <v>3</v>
      </c>
      <c r="V8" s="10"/>
      <c r="W8" s="10">
        <v>3</v>
      </c>
      <c r="X8" s="10"/>
      <c r="Y8" s="10">
        <v>3</v>
      </c>
      <c r="Z8" s="10"/>
      <c r="AA8" s="10">
        <v>3</v>
      </c>
      <c r="AB8" s="10">
        <v>3</v>
      </c>
      <c r="AC8" s="10"/>
      <c r="AD8" s="10"/>
      <c r="AE8" s="10">
        <v>3</v>
      </c>
      <c r="AF8" s="10"/>
      <c r="AG8" s="10">
        <v>3</v>
      </c>
      <c r="AH8" s="10"/>
      <c r="AI8" s="10"/>
      <c r="AK8" s="22">
        <f t="shared" si="30"/>
        <v>19906.058850000001</v>
      </c>
      <c r="AL8" s="22">
        <f t="shared" si="31"/>
        <v>0</v>
      </c>
      <c r="AM8" s="22">
        <f t="shared" si="32"/>
        <v>0</v>
      </c>
      <c r="AN8" s="22">
        <f t="shared" si="33"/>
        <v>0</v>
      </c>
      <c r="AO8" s="22">
        <f t="shared" si="34"/>
        <v>15924.84708</v>
      </c>
      <c r="AP8" s="22">
        <f t="shared" si="35"/>
        <v>0</v>
      </c>
      <c r="AQ8" s="22">
        <f t="shared" si="36"/>
        <v>19906.058850000001</v>
      </c>
      <c r="AR8" s="22">
        <f t="shared" si="37"/>
        <v>0</v>
      </c>
      <c r="AS8" s="22">
        <f t="shared" si="38"/>
        <v>11943.63531</v>
      </c>
      <c r="AT8" s="22">
        <f t="shared" si="39"/>
        <v>11943.63531</v>
      </c>
      <c r="AU8" s="22">
        <f t="shared" si="40"/>
        <v>11943.63531</v>
      </c>
      <c r="AV8" s="22">
        <f t="shared" si="41"/>
        <v>0</v>
      </c>
      <c r="AW8" s="22">
        <f t="shared" si="42"/>
        <v>11943.63531</v>
      </c>
      <c r="AX8" s="22">
        <f t="shared" si="43"/>
        <v>0</v>
      </c>
      <c r="AY8" s="22">
        <f t="shared" si="44"/>
        <v>11943.63531</v>
      </c>
      <c r="AZ8" s="22">
        <f t="shared" si="45"/>
        <v>0</v>
      </c>
      <c r="BA8" s="22">
        <f t="shared" si="46"/>
        <v>11943.63531</v>
      </c>
      <c r="BB8" s="22">
        <f t="shared" si="47"/>
        <v>11943.63531</v>
      </c>
      <c r="BC8" s="22">
        <f t="shared" si="48"/>
        <v>0</v>
      </c>
      <c r="BD8" s="22">
        <f t="shared" si="49"/>
        <v>0</v>
      </c>
      <c r="BE8" s="22">
        <f t="shared" si="50"/>
        <v>11943.63531</v>
      </c>
      <c r="BF8" s="22">
        <f t="shared" si="51"/>
        <v>0</v>
      </c>
      <c r="BG8" s="22">
        <f t="shared" si="52"/>
        <v>11943.63531</v>
      </c>
      <c r="BH8" s="22">
        <f t="shared" si="53"/>
        <v>0</v>
      </c>
      <c r="BI8" s="22">
        <f t="shared" si="54"/>
        <v>0</v>
      </c>
      <c r="BJ8" s="19" t="s">
        <v>461</v>
      </c>
      <c r="BK8" s="19" t="s">
        <v>462</v>
      </c>
      <c r="BL8" s="43">
        <f t="shared" si="55"/>
        <v>163229.68257</v>
      </c>
      <c r="BM8" s="39">
        <f t="shared" si="56"/>
        <v>145871.03</v>
      </c>
    </row>
    <row r="9" spans="1:65" ht="45">
      <c r="A9" s="10" t="s">
        <v>455</v>
      </c>
      <c r="B9" s="24" t="s">
        <v>456</v>
      </c>
      <c r="C9" s="66">
        <v>25</v>
      </c>
      <c r="D9" s="20" t="s">
        <v>464</v>
      </c>
      <c r="E9" s="41">
        <v>4171.68</v>
      </c>
      <c r="F9" s="21">
        <f t="shared" si="0"/>
        <v>417.16800000000006</v>
      </c>
      <c r="G9" s="21">
        <f t="shared" si="1"/>
        <v>79.261920000000018</v>
      </c>
      <c r="H9" s="21">
        <f t="shared" si="2"/>
        <v>4668.1099199999999</v>
      </c>
      <c r="J9" s="10">
        <f t="shared" si="3"/>
        <v>94</v>
      </c>
      <c r="K9" s="10">
        <v>45</v>
      </c>
      <c r="L9" s="10"/>
      <c r="M9" s="10"/>
      <c r="N9" s="242"/>
      <c r="O9" s="10"/>
      <c r="P9" s="10"/>
      <c r="Q9" s="10">
        <v>8</v>
      </c>
      <c r="R9" s="10">
        <v>6</v>
      </c>
      <c r="S9" s="10">
        <v>8</v>
      </c>
      <c r="T9" s="10"/>
      <c r="U9" s="10">
        <v>5</v>
      </c>
      <c r="V9" s="10"/>
      <c r="W9" s="10">
        <v>2</v>
      </c>
      <c r="X9" s="10"/>
      <c r="Y9" s="10">
        <v>4</v>
      </c>
      <c r="Z9" s="10"/>
      <c r="AA9" s="10">
        <v>4</v>
      </c>
      <c r="AB9" s="10">
        <v>3</v>
      </c>
      <c r="AC9" s="10"/>
      <c r="AD9" s="10">
        <v>3</v>
      </c>
      <c r="AE9" s="10">
        <v>3</v>
      </c>
      <c r="AF9" s="10"/>
      <c r="AG9" s="10">
        <v>3</v>
      </c>
      <c r="AH9" s="10"/>
      <c r="AI9" s="10"/>
      <c r="AK9" s="22">
        <f t="shared" si="30"/>
        <v>210064.94639999999</v>
      </c>
      <c r="AL9" s="22">
        <f t="shared" si="31"/>
        <v>0</v>
      </c>
      <c r="AM9" s="22">
        <f t="shared" si="32"/>
        <v>0</v>
      </c>
      <c r="AN9" s="22">
        <f t="shared" si="33"/>
        <v>0</v>
      </c>
      <c r="AO9" s="22">
        <f t="shared" si="34"/>
        <v>0</v>
      </c>
      <c r="AP9" s="22">
        <f t="shared" si="35"/>
        <v>0</v>
      </c>
      <c r="AQ9" s="22">
        <f t="shared" si="36"/>
        <v>37344.879359999999</v>
      </c>
      <c r="AR9" s="22">
        <f t="shared" si="37"/>
        <v>28008.659520000001</v>
      </c>
      <c r="AS9" s="22">
        <f t="shared" si="38"/>
        <v>37344.879359999999</v>
      </c>
      <c r="AT9" s="22">
        <f t="shared" si="39"/>
        <v>0</v>
      </c>
      <c r="AU9" s="22">
        <f t="shared" si="40"/>
        <v>23340.549599999998</v>
      </c>
      <c r="AV9" s="22">
        <f t="shared" si="41"/>
        <v>0</v>
      </c>
      <c r="AW9" s="22">
        <f t="shared" si="42"/>
        <v>9336.2198399999997</v>
      </c>
      <c r="AX9" s="22">
        <f t="shared" si="43"/>
        <v>0</v>
      </c>
      <c r="AY9" s="22">
        <f t="shared" si="44"/>
        <v>18672.439679999999</v>
      </c>
      <c r="AZ9" s="22">
        <f t="shared" si="45"/>
        <v>0</v>
      </c>
      <c r="BA9" s="22">
        <f t="shared" si="46"/>
        <v>18672.439679999999</v>
      </c>
      <c r="BB9" s="22">
        <f t="shared" si="47"/>
        <v>14004.329760000001</v>
      </c>
      <c r="BC9" s="22">
        <f t="shared" si="48"/>
        <v>0</v>
      </c>
      <c r="BD9" s="22">
        <f t="shared" si="49"/>
        <v>14004.329760000001</v>
      </c>
      <c r="BE9" s="22">
        <f t="shared" si="50"/>
        <v>14004.329760000001</v>
      </c>
      <c r="BF9" s="22">
        <f t="shared" si="51"/>
        <v>0</v>
      </c>
      <c r="BG9" s="22">
        <f t="shared" si="52"/>
        <v>14004.329760000001</v>
      </c>
      <c r="BH9" s="22">
        <f t="shared" si="53"/>
        <v>0</v>
      </c>
      <c r="BI9" s="22">
        <f t="shared" si="54"/>
        <v>0</v>
      </c>
      <c r="BJ9" s="19" t="s">
        <v>455</v>
      </c>
      <c r="BK9" s="25" t="s">
        <v>456</v>
      </c>
      <c r="BL9" s="43">
        <f t="shared" si="55"/>
        <v>438802.33247999998</v>
      </c>
      <c r="BM9" s="39">
        <f t="shared" si="56"/>
        <v>392137.92000000004</v>
      </c>
    </row>
    <row r="10" spans="1:65" ht="22.5">
      <c r="A10" s="10" t="s">
        <v>455</v>
      </c>
      <c r="B10" s="24" t="s">
        <v>456</v>
      </c>
      <c r="C10" s="66">
        <v>26</v>
      </c>
      <c r="D10" s="20" t="s">
        <v>465</v>
      </c>
      <c r="E10" s="41">
        <v>2609.44</v>
      </c>
      <c r="F10" s="21">
        <f t="shared" si="0"/>
        <v>260.94400000000002</v>
      </c>
      <c r="G10" s="21">
        <f t="shared" si="1"/>
        <v>49.579360000000001</v>
      </c>
      <c r="H10" s="21">
        <f t="shared" si="2"/>
        <v>2919.9633600000002</v>
      </c>
      <c r="J10" s="10">
        <f t="shared" si="3"/>
        <v>231</v>
      </c>
      <c r="K10" s="10"/>
      <c r="L10" s="10"/>
      <c r="M10" s="10"/>
      <c r="N10" s="242"/>
      <c r="O10" s="10">
        <v>8</v>
      </c>
      <c r="P10" s="10"/>
      <c r="Q10" s="10">
        <v>5</v>
      </c>
      <c r="R10" s="10"/>
      <c r="S10" s="10">
        <v>8</v>
      </c>
      <c r="T10" s="10"/>
      <c r="U10" s="10">
        <v>6</v>
      </c>
      <c r="V10" s="10">
        <v>10</v>
      </c>
      <c r="W10" s="10">
        <v>10</v>
      </c>
      <c r="X10" s="10"/>
      <c r="Y10" s="10">
        <v>9</v>
      </c>
      <c r="Z10" s="10">
        <v>40</v>
      </c>
      <c r="AA10" s="10">
        <v>9</v>
      </c>
      <c r="AB10" s="10">
        <v>6</v>
      </c>
      <c r="AC10" s="10">
        <v>30</v>
      </c>
      <c r="AD10" s="10">
        <v>10</v>
      </c>
      <c r="AE10" s="10">
        <v>20</v>
      </c>
      <c r="AF10" s="10">
        <v>20</v>
      </c>
      <c r="AG10" s="10"/>
      <c r="AH10" s="10">
        <v>10</v>
      </c>
      <c r="AI10" s="10">
        <v>30</v>
      </c>
      <c r="AK10" s="22">
        <f t="shared" si="30"/>
        <v>0</v>
      </c>
      <c r="AL10" s="22">
        <f t="shared" si="31"/>
        <v>0</v>
      </c>
      <c r="AM10" s="22">
        <f t="shared" si="32"/>
        <v>0</v>
      </c>
      <c r="AN10" s="22">
        <f t="shared" si="33"/>
        <v>0</v>
      </c>
      <c r="AO10" s="22">
        <f t="shared" si="34"/>
        <v>23359.706880000002</v>
      </c>
      <c r="AP10" s="22">
        <f t="shared" si="35"/>
        <v>0</v>
      </c>
      <c r="AQ10" s="22">
        <f t="shared" si="36"/>
        <v>14599.816800000001</v>
      </c>
      <c r="AR10" s="22">
        <f t="shared" si="37"/>
        <v>0</v>
      </c>
      <c r="AS10" s="22">
        <f t="shared" si="38"/>
        <v>23359.706880000002</v>
      </c>
      <c r="AT10" s="22">
        <f t="shared" si="39"/>
        <v>0</v>
      </c>
      <c r="AU10" s="22">
        <f t="shared" si="40"/>
        <v>17519.780160000002</v>
      </c>
      <c r="AV10" s="22">
        <f t="shared" si="41"/>
        <v>29199.633600000001</v>
      </c>
      <c r="AW10" s="22">
        <f t="shared" si="42"/>
        <v>29199.633600000001</v>
      </c>
      <c r="AX10" s="22">
        <f t="shared" si="43"/>
        <v>0</v>
      </c>
      <c r="AY10" s="22">
        <f t="shared" si="44"/>
        <v>26279.670240000003</v>
      </c>
      <c r="AZ10" s="22">
        <f t="shared" si="45"/>
        <v>116798.5344</v>
      </c>
      <c r="BA10" s="22">
        <f t="shared" si="46"/>
        <v>26279.670240000003</v>
      </c>
      <c r="BB10" s="22">
        <f t="shared" si="47"/>
        <v>17519.780160000002</v>
      </c>
      <c r="BC10" s="22">
        <f t="shared" si="48"/>
        <v>87598.900800000003</v>
      </c>
      <c r="BD10" s="22">
        <f t="shared" si="49"/>
        <v>29199.633600000001</v>
      </c>
      <c r="BE10" s="22">
        <f t="shared" si="50"/>
        <v>58399.267200000002</v>
      </c>
      <c r="BF10" s="22">
        <f t="shared" si="51"/>
        <v>58399.267200000002</v>
      </c>
      <c r="BG10" s="22">
        <f t="shared" si="52"/>
        <v>0</v>
      </c>
      <c r="BH10" s="22">
        <f t="shared" si="53"/>
        <v>29199.633600000001</v>
      </c>
      <c r="BI10" s="22">
        <f t="shared" si="54"/>
        <v>87598.900800000003</v>
      </c>
      <c r="BJ10" s="19" t="s">
        <v>455</v>
      </c>
      <c r="BK10" s="25" t="s">
        <v>456</v>
      </c>
      <c r="BL10" s="43">
        <f t="shared" si="55"/>
        <v>674511.53616000002</v>
      </c>
      <c r="BM10" s="39">
        <f t="shared" si="56"/>
        <v>602780.64</v>
      </c>
    </row>
    <row r="11" spans="1:65" ht="33.75">
      <c r="A11" s="10" t="s">
        <v>466</v>
      </c>
      <c r="B11" s="19" t="s">
        <v>467</v>
      </c>
      <c r="C11" s="66">
        <v>27</v>
      </c>
      <c r="D11" s="20" t="s">
        <v>468</v>
      </c>
      <c r="E11" s="41">
        <v>3547.72</v>
      </c>
      <c r="F11" s="21">
        <f t="shared" si="0"/>
        <v>354.77199999999999</v>
      </c>
      <c r="G11" s="21">
        <f t="shared" si="1"/>
        <v>67.406679999999994</v>
      </c>
      <c r="H11" s="21">
        <f t="shared" si="2"/>
        <v>3969.8986799999998</v>
      </c>
      <c r="J11" s="10">
        <f t="shared" si="3"/>
        <v>94</v>
      </c>
      <c r="K11" s="10">
        <v>45</v>
      </c>
      <c r="L11" s="10">
        <v>5</v>
      </c>
      <c r="M11" s="10"/>
      <c r="N11" s="242"/>
      <c r="O11" s="10">
        <v>5</v>
      </c>
      <c r="P11" s="10"/>
      <c r="Q11" s="10">
        <v>5</v>
      </c>
      <c r="R11" s="10"/>
      <c r="S11" s="10">
        <v>5</v>
      </c>
      <c r="T11" s="10">
        <v>5</v>
      </c>
      <c r="U11" s="10">
        <v>5</v>
      </c>
      <c r="V11" s="10"/>
      <c r="W11" s="10"/>
      <c r="X11" s="10"/>
      <c r="Y11" s="10">
        <v>5</v>
      </c>
      <c r="Z11" s="10">
        <v>5</v>
      </c>
      <c r="AA11" s="10">
        <v>5</v>
      </c>
      <c r="AB11" s="10"/>
      <c r="AC11" s="10"/>
      <c r="AD11" s="10"/>
      <c r="AE11" s="10">
        <v>2</v>
      </c>
      <c r="AF11" s="10">
        <v>2</v>
      </c>
      <c r="AG11" s="10"/>
      <c r="AH11" s="10"/>
      <c r="AI11" s="10"/>
      <c r="AK11" s="22">
        <f t="shared" si="30"/>
        <v>178645.4406</v>
      </c>
      <c r="AL11" s="22">
        <f t="shared" si="31"/>
        <v>19849.493399999999</v>
      </c>
      <c r="AM11" s="22">
        <f t="shared" si="32"/>
        <v>0</v>
      </c>
      <c r="AN11" s="22">
        <f t="shared" si="33"/>
        <v>0</v>
      </c>
      <c r="AO11" s="22">
        <f t="shared" si="34"/>
        <v>19849.493399999999</v>
      </c>
      <c r="AP11" s="22">
        <f t="shared" si="35"/>
        <v>0</v>
      </c>
      <c r="AQ11" s="22">
        <f t="shared" si="36"/>
        <v>19849.493399999999</v>
      </c>
      <c r="AR11" s="22">
        <f t="shared" si="37"/>
        <v>0</v>
      </c>
      <c r="AS11" s="22">
        <f t="shared" si="38"/>
        <v>19849.493399999999</v>
      </c>
      <c r="AT11" s="22">
        <f t="shared" si="39"/>
        <v>19849.493399999999</v>
      </c>
      <c r="AU11" s="22">
        <f t="shared" si="40"/>
        <v>19849.493399999999</v>
      </c>
      <c r="AV11" s="22">
        <f t="shared" si="41"/>
        <v>0</v>
      </c>
      <c r="AW11" s="22">
        <f t="shared" si="42"/>
        <v>0</v>
      </c>
      <c r="AX11" s="22">
        <f t="shared" si="43"/>
        <v>0</v>
      </c>
      <c r="AY11" s="22">
        <f t="shared" si="44"/>
        <v>19849.493399999999</v>
      </c>
      <c r="AZ11" s="22">
        <f t="shared" si="45"/>
        <v>19849.493399999999</v>
      </c>
      <c r="BA11" s="22">
        <f t="shared" si="46"/>
        <v>19849.493399999999</v>
      </c>
      <c r="BB11" s="22">
        <f t="shared" si="47"/>
        <v>0</v>
      </c>
      <c r="BC11" s="22">
        <f t="shared" si="48"/>
        <v>0</v>
      </c>
      <c r="BD11" s="22">
        <f t="shared" si="49"/>
        <v>0</v>
      </c>
      <c r="BE11" s="22">
        <f t="shared" si="50"/>
        <v>7939.7973599999996</v>
      </c>
      <c r="BF11" s="22">
        <f t="shared" si="51"/>
        <v>7939.7973599999996</v>
      </c>
      <c r="BG11" s="22">
        <f t="shared" si="52"/>
        <v>0</v>
      </c>
      <c r="BH11" s="22">
        <f t="shared" si="53"/>
        <v>0</v>
      </c>
      <c r="BI11" s="22">
        <f t="shared" si="54"/>
        <v>0</v>
      </c>
      <c r="BJ11" s="19" t="s">
        <v>466</v>
      </c>
      <c r="BK11" s="19" t="s">
        <v>467</v>
      </c>
      <c r="BL11" s="43">
        <f t="shared" si="55"/>
        <v>373170.47592</v>
      </c>
      <c r="BM11" s="39">
        <f t="shared" si="56"/>
        <v>333485.68</v>
      </c>
    </row>
    <row r="12" spans="1:65" ht="34.5" customHeight="1">
      <c r="A12" s="10" t="s">
        <v>469</v>
      </c>
      <c r="B12" s="23" t="s">
        <v>470</v>
      </c>
      <c r="C12" s="66">
        <v>30</v>
      </c>
      <c r="D12" s="20" t="s">
        <v>471</v>
      </c>
      <c r="E12" s="41">
        <v>4305.5</v>
      </c>
      <c r="F12" s="21">
        <f t="shared" si="0"/>
        <v>430.55</v>
      </c>
      <c r="G12" s="21">
        <f t="shared" si="1"/>
        <v>81.804500000000004</v>
      </c>
      <c r="H12" s="21">
        <f t="shared" si="2"/>
        <v>4817.8545000000004</v>
      </c>
      <c r="J12" s="10">
        <f t="shared" si="3"/>
        <v>168</v>
      </c>
      <c r="K12" s="10">
        <v>45</v>
      </c>
      <c r="L12" s="10">
        <v>4</v>
      </c>
      <c r="M12" s="10">
        <v>4</v>
      </c>
      <c r="N12" s="242"/>
      <c r="O12" s="10">
        <v>11</v>
      </c>
      <c r="P12" s="10"/>
      <c r="Q12" s="10">
        <v>6</v>
      </c>
      <c r="R12" s="10">
        <v>4</v>
      </c>
      <c r="S12" s="10">
        <v>8</v>
      </c>
      <c r="T12" s="10">
        <v>4</v>
      </c>
      <c r="U12" s="10">
        <v>4</v>
      </c>
      <c r="V12" s="10">
        <v>10</v>
      </c>
      <c r="W12" s="10">
        <v>3</v>
      </c>
      <c r="X12" s="10"/>
      <c r="Y12" s="10">
        <v>4</v>
      </c>
      <c r="Z12" s="10">
        <v>15</v>
      </c>
      <c r="AA12" s="10">
        <v>4</v>
      </c>
      <c r="AB12" s="10">
        <v>10</v>
      </c>
      <c r="AC12" s="10"/>
      <c r="AD12" s="10">
        <v>10</v>
      </c>
      <c r="AE12" s="10">
        <v>5</v>
      </c>
      <c r="AF12" s="10">
        <v>6</v>
      </c>
      <c r="AG12" s="10">
        <v>4</v>
      </c>
      <c r="AH12" s="10">
        <v>2</v>
      </c>
      <c r="AI12" s="10">
        <v>5</v>
      </c>
      <c r="AK12" s="22">
        <f t="shared" si="30"/>
        <v>216803.45250000001</v>
      </c>
      <c r="AL12" s="22">
        <f t="shared" si="31"/>
        <v>19271.418000000001</v>
      </c>
      <c r="AM12" s="22">
        <f t="shared" si="32"/>
        <v>19271.418000000001</v>
      </c>
      <c r="AN12" s="22">
        <f t="shared" si="33"/>
        <v>0</v>
      </c>
      <c r="AO12" s="22">
        <f t="shared" si="34"/>
        <v>52996.399500000007</v>
      </c>
      <c r="AP12" s="22">
        <f t="shared" si="35"/>
        <v>0</v>
      </c>
      <c r="AQ12" s="22">
        <f t="shared" si="36"/>
        <v>28907.127</v>
      </c>
      <c r="AR12" s="22">
        <f t="shared" si="37"/>
        <v>19271.418000000001</v>
      </c>
      <c r="AS12" s="22">
        <f t="shared" si="38"/>
        <v>38542.836000000003</v>
      </c>
      <c r="AT12" s="22">
        <f t="shared" si="39"/>
        <v>19271.418000000001</v>
      </c>
      <c r="AU12" s="22">
        <f t="shared" si="40"/>
        <v>19271.418000000001</v>
      </c>
      <c r="AV12" s="22">
        <f t="shared" si="41"/>
        <v>48178.545000000006</v>
      </c>
      <c r="AW12" s="22">
        <f t="shared" si="42"/>
        <v>14453.5635</v>
      </c>
      <c r="AX12" s="22">
        <f t="shared" si="43"/>
        <v>0</v>
      </c>
      <c r="AY12" s="22">
        <f t="shared" si="44"/>
        <v>19271.418000000001</v>
      </c>
      <c r="AZ12" s="22">
        <f t="shared" si="45"/>
        <v>72267.817500000005</v>
      </c>
      <c r="BA12" s="22">
        <f t="shared" si="46"/>
        <v>19271.418000000001</v>
      </c>
      <c r="BB12" s="22">
        <f t="shared" si="47"/>
        <v>48178.545000000006</v>
      </c>
      <c r="BC12" s="22">
        <f t="shared" si="48"/>
        <v>0</v>
      </c>
      <c r="BD12" s="22">
        <f t="shared" si="49"/>
        <v>48178.545000000006</v>
      </c>
      <c r="BE12" s="22">
        <f t="shared" si="50"/>
        <v>24089.272500000003</v>
      </c>
      <c r="BF12" s="22">
        <f t="shared" si="51"/>
        <v>28907.127</v>
      </c>
      <c r="BG12" s="22">
        <f t="shared" si="52"/>
        <v>19271.418000000001</v>
      </c>
      <c r="BH12" s="22">
        <f t="shared" si="53"/>
        <v>9635.7090000000007</v>
      </c>
      <c r="BI12" s="22">
        <f t="shared" si="54"/>
        <v>24089.272500000003</v>
      </c>
      <c r="BJ12" s="19" t="s">
        <v>469</v>
      </c>
      <c r="BK12" s="23" t="s">
        <v>470</v>
      </c>
      <c r="BL12" s="43">
        <f t="shared" si="55"/>
        <v>809399.5560000001</v>
      </c>
      <c r="BM12" s="39">
        <f t="shared" si="56"/>
        <v>723324</v>
      </c>
    </row>
    <row r="13" spans="1:65" ht="22.5">
      <c r="A13" s="10" t="s">
        <v>472</v>
      </c>
      <c r="B13" s="10" t="s">
        <v>473</v>
      </c>
      <c r="C13" s="66">
        <v>44</v>
      </c>
      <c r="D13" s="20" t="s">
        <v>474</v>
      </c>
      <c r="E13" s="41">
        <v>14997.67</v>
      </c>
      <c r="F13" s="21">
        <f t="shared" si="0"/>
        <v>1499.7670000000001</v>
      </c>
      <c r="G13" s="21">
        <f t="shared" si="1"/>
        <v>284.95573000000002</v>
      </c>
      <c r="H13" s="21">
        <f t="shared" si="2"/>
        <v>16782.392730000003</v>
      </c>
      <c r="J13" s="10">
        <f t="shared" si="3"/>
        <v>106</v>
      </c>
      <c r="K13" s="10">
        <v>50</v>
      </c>
      <c r="L13" s="10">
        <v>6</v>
      </c>
      <c r="M13" s="10"/>
      <c r="N13" s="242"/>
      <c r="O13" s="10">
        <v>12</v>
      </c>
      <c r="P13" s="10"/>
      <c r="Q13" s="10">
        <v>6</v>
      </c>
      <c r="R13" s="10">
        <v>6</v>
      </c>
      <c r="S13" s="10"/>
      <c r="T13" s="10">
        <v>8</v>
      </c>
      <c r="U13" s="10">
        <v>8</v>
      </c>
      <c r="V13" s="10"/>
      <c r="W13" s="10"/>
      <c r="X13" s="10"/>
      <c r="Y13" s="10"/>
      <c r="Z13" s="10"/>
      <c r="AA13" s="10"/>
      <c r="AB13" s="10">
        <v>5</v>
      </c>
      <c r="AC13" s="10"/>
      <c r="AD13" s="10">
        <v>3</v>
      </c>
      <c r="AE13" s="10">
        <v>2</v>
      </c>
      <c r="AF13" s="10"/>
      <c r="AG13" s="10"/>
      <c r="AH13" s="10"/>
      <c r="AI13" s="10"/>
      <c r="AK13" s="22">
        <f t="shared" si="30"/>
        <v>839119.63650000014</v>
      </c>
      <c r="AL13" s="22">
        <f t="shared" si="31"/>
        <v>100694.35638000001</v>
      </c>
      <c r="AM13" s="22">
        <f t="shared" si="32"/>
        <v>0</v>
      </c>
      <c r="AN13" s="22">
        <f t="shared" si="33"/>
        <v>0</v>
      </c>
      <c r="AO13" s="22">
        <f t="shared" si="34"/>
        <v>201388.71276000002</v>
      </c>
      <c r="AP13" s="22">
        <f t="shared" si="35"/>
        <v>0</v>
      </c>
      <c r="AQ13" s="22">
        <f t="shared" si="36"/>
        <v>100694.35638000001</v>
      </c>
      <c r="AR13" s="22">
        <f t="shared" si="37"/>
        <v>100694.35638000001</v>
      </c>
      <c r="AS13" s="22">
        <f t="shared" si="38"/>
        <v>0</v>
      </c>
      <c r="AT13" s="22">
        <f t="shared" si="39"/>
        <v>134259.14184000003</v>
      </c>
      <c r="AU13" s="22">
        <f t="shared" si="40"/>
        <v>134259.14184000003</v>
      </c>
      <c r="AV13" s="22">
        <f t="shared" si="41"/>
        <v>0</v>
      </c>
      <c r="AW13" s="22">
        <f t="shared" si="42"/>
        <v>0</v>
      </c>
      <c r="AX13" s="22">
        <f t="shared" si="43"/>
        <v>0</v>
      </c>
      <c r="AY13" s="22">
        <f t="shared" si="44"/>
        <v>0</v>
      </c>
      <c r="AZ13" s="22">
        <f t="shared" si="45"/>
        <v>0</v>
      </c>
      <c r="BA13" s="22">
        <f t="shared" si="46"/>
        <v>0</v>
      </c>
      <c r="BB13" s="22">
        <f t="shared" si="47"/>
        <v>83911.96365000002</v>
      </c>
      <c r="BC13" s="22">
        <f t="shared" si="48"/>
        <v>0</v>
      </c>
      <c r="BD13" s="22">
        <f t="shared" si="49"/>
        <v>50347.178190000006</v>
      </c>
      <c r="BE13" s="22">
        <f t="shared" si="50"/>
        <v>33564.785460000006</v>
      </c>
      <c r="BF13" s="22">
        <f t="shared" si="51"/>
        <v>0</v>
      </c>
      <c r="BG13" s="22">
        <f t="shared" si="52"/>
        <v>0</v>
      </c>
      <c r="BH13" s="22">
        <f t="shared" si="53"/>
        <v>0</v>
      </c>
      <c r="BI13" s="22">
        <f t="shared" si="54"/>
        <v>0</v>
      </c>
      <c r="BJ13" s="19" t="s">
        <v>472</v>
      </c>
      <c r="BK13" s="19" t="s">
        <v>473</v>
      </c>
      <c r="BL13" s="43">
        <f t="shared" si="55"/>
        <v>1778933.6293800003</v>
      </c>
      <c r="BM13" s="39">
        <f t="shared" si="56"/>
        <v>1589753.02</v>
      </c>
    </row>
    <row r="14" spans="1:65" ht="34.5" customHeight="1">
      <c r="A14" s="10" t="s">
        <v>475</v>
      </c>
      <c r="B14" s="10" t="s">
        <v>476</v>
      </c>
      <c r="C14" s="66">
        <v>48</v>
      </c>
      <c r="D14" s="20" t="s">
        <v>477</v>
      </c>
      <c r="E14" s="41">
        <v>26053.94</v>
      </c>
      <c r="F14" s="21">
        <f t="shared" si="0"/>
        <v>2605.3940000000002</v>
      </c>
      <c r="G14" s="21">
        <f t="shared" si="1"/>
        <v>495.02486000000005</v>
      </c>
      <c r="H14" s="21">
        <f t="shared" si="2"/>
        <v>29154.35886</v>
      </c>
      <c r="J14" s="10">
        <f t="shared" si="3"/>
        <v>119</v>
      </c>
      <c r="K14" s="10">
        <f>50+5</f>
        <v>55</v>
      </c>
      <c r="L14" s="242">
        <v>2</v>
      </c>
      <c r="M14" s="10"/>
      <c r="N14" s="242"/>
      <c r="O14" s="10">
        <v>12</v>
      </c>
      <c r="P14" s="10"/>
      <c r="Q14" s="10">
        <v>5</v>
      </c>
      <c r="R14" s="10">
        <v>2</v>
      </c>
      <c r="S14" s="10">
        <v>2</v>
      </c>
      <c r="T14" s="242">
        <v>2</v>
      </c>
      <c r="U14" s="10">
        <v>2</v>
      </c>
      <c r="V14" s="10">
        <v>15</v>
      </c>
      <c r="W14" s="10"/>
      <c r="X14" s="10"/>
      <c r="Y14" s="10">
        <v>2</v>
      </c>
      <c r="Z14" s="10">
        <v>8</v>
      </c>
      <c r="AA14" s="10">
        <v>2</v>
      </c>
      <c r="AB14" s="10">
        <v>5</v>
      </c>
      <c r="AC14" s="10"/>
      <c r="AD14" s="10">
        <v>5</v>
      </c>
      <c r="AE14" s="10"/>
      <c r="AF14" s="10"/>
      <c r="AG14" s="10"/>
      <c r="AH14" s="10"/>
      <c r="AI14" s="10"/>
      <c r="AK14" s="22">
        <f t="shared" si="30"/>
        <v>1603489.7372999999</v>
      </c>
      <c r="AL14" s="22">
        <f t="shared" si="31"/>
        <v>58308.717720000001</v>
      </c>
      <c r="AM14" s="22">
        <f t="shared" si="32"/>
        <v>0</v>
      </c>
      <c r="AN14" s="22">
        <f t="shared" si="33"/>
        <v>0</v>
      </c>
      <c r="AO14" s="22">
        <f t="shared" si="34"/>
        <v>349852.30631999997</v>
      </c>
      <c r="AP14" s="22">
        <f t="shared" si="35"/>
        <v>0</v>
      </c>
      <c r="AQ14" s="22">
        <f t="shared" si="36"/>
        <v>145771.79430000001</v>
      </c>
      <c r="AR14" s="22">
        <f t="shared" si="37"/>
        <v>58308.717720000001</v>
      </c>
      <c r="AS14" s="22">
        <f t="shared" si="38"/>
        <v>58308.717720000001</v>
      </c>
      <c r="AT14" s="22">
        <f t="shared" si="39"/>
        <v>58308.717720000001</v>
      </c>
      <c r="AU14" s="22">
        <f t="shared" si="40"/>
        <v>58308.717720000001</v>
      </c>
      <c r="AV14" s="22">
        <f t="shared" si="41"/>
        <v>437315.38290000003</v>
      </c>
      <c r="AW14" s="22">
        <f t="shared" si="42"/>
        <v>0</v>
      </c>
      <c r="AX14" s="22">
        <f t="shared" si="43"/>
        <v>0</v>
      </c>
      <c r="AY14" s="22">
        <f t="shared" si="44"/>
        <v>58308.717720000001</v>
      </c>
      <c r="AZ14" s="22">
        <f t="shared" si="45"/>
        <v>233234.87088</v>
      </c>
      <c r="BA14" s="22">
        <f t="shared" si="46"/>
        <v>58308.717720000001</v>
      </c>
      <c r="BB14" s="22">
        <f t="shared" si="47"/>
        <v>145771.79430000001</v>
      </c>
      <c r="BC14" s="22">
        <f t="shared" si="48"/>
        <v>0</v>
      </c>
      <c r="BD14" s="22">
        <f t="shared" si="49"/>
        <v>145771.79430000001</v>
      </c>
      <c r="BE14" s="22">
        <f t="shared" si="50"/>
        <v>0</v>
      </c>
      <c r="BF14" s="22">
        <f t="shared" si="51"/>
        <v>0</v>
      </c>
      <c r="BG14" s="22">
        <f t="shared" si="52"/>
        <v>0</v>
      </c>
      <c r="BH14" s="22">
        <f t="shared" si="53"/>
        <v>0</v>
      </c>
      <c r="BI14" s="22">
        <f t="shared" si="54"/>
        <v>0</v>
      </c>
      <c r="BJ14" s="19" t="s">
        <v>475</v>
      </c>
      <c r="BK14" s="19" t="s">
        <v>476</v>
      </c>
      <c r="BL14" s="43">
        <f t="shared" si="55"/>
        <v>3469368.7043400002</v>
      </c>
      <c r="BM14" s="39">
        <f t="shared" si="56"/>
        <v>3100418.86</v>
      </c>
    </row>
    <row r="15" spans="1:65" ht="34.5" customHeight="1">
      <c r="A15" s="10" t="s">
        <v>472</v>
      </c>
      <c r="B15" s="10" t="s">
        <v>473</v>
      </c>
      <c r="C15" s="66">
        <v>49</v>
      </c>
      <c r="D15" s="20" t="s">
        <v>478</v>
      </c>
      <c r="E15" s="41">
        <v>14282.68</v>
      </c>
      <c r="F15" s="21">
        <f t="shared" si="0"/>
        <v>1428.268</v>
      </c>
      <c r="G15" s="21">
        <f t="shared" si="1"/>
        <v>271.37092000000001</v>
      </c>
      <c r="H15" s="21">
        <f t="shared" si="2"/>
        <v>15982.31892</v>
      </c>
      <c r="J15" s="10">
        <f t="shared" si="3"/>
        <v>98</v>
      </c>
      <c r="K15" s="10">
        <f>45+5</f>
        <v>50</v>
      </c>
      <c r="L15" s="242">
        <v>3</v>
      </c>
      <c r="M15" s="10"/>
      <c r="N15" s="242"/>
      <c r="O15" s="10">
        <v>9</v>
      </c>
      <c r="P15" s="10"/>
      <c r="Q15" s="10"/>
      <c r="R15" s="10"/>
      <c r="S15" s="10"/>
      <c r="T15" s="10">
        <v>3</v>
      </c>
      <c r="U15" s="10">
        <v>2</v>
      </c>
      <c r="V15" s="10">
        <v>13</v>
      </c>
      <c r="W15" s="10"/>
      <c r="X15" s="10"/>
      <c r="Y15" s="10">
        <v>3</v>
      </c>
      <c r="Z15" s="10"/>
      <c r="AA15" s="10">
        <v>3</v>
      </c>
      <c r="AB15" s="10">
        <v>4</v>
      </c>
      <c r="AC15" s="10"/>
      <c r="AD15" s="10">
        <v>3</v>
      </c>
      <c r="AE15" s="10">
        <v>5</v>
      </c>
      <c r="AF15" s="10"/>
      <c r="AG15" s="10"/>
      <c r="AH15" s="10"/>
      <c r="AI15" s="10"/>
      <c r="AK15" s="22">
        <f t="shared" si="30"/>
        <v>799115.946</v>
      </c>
      <c r="AL15" s="22">
        <f t="shared" si="31"/>
        <v>47946.956760000001</v>
      </c>
      <c r="AM15" s="22">
        <f t="shared" si="32"/>
        <v>0</v>
      </c>
      <c r="AN15" s="22">
        <f t="shared" si="33"/>
        <v>0</v>
      </c>
      <c r="AO15" s="22">
        <f t="shared" si="34"/>
        <v>143840.87028</v>
      </c>
      <c r="AP15" s="22">
        <f t="shared" si="35"/>
        <v>0</v>
      </c>
      <c r="AQ15" s="22">
        <f t="shared" si="36"/>
        <v>0</v>
      </c>
      <c r="AR15" s="22">
        <f t="shared" si="37"/>
        <v>0</v>
      </c>
      <c r="AS15" s="22">
        <f t="shared" si="38"/>
        <v>0</v>
      </c>
      <c r="AT15" s="22">
        <f t="shared" si="39"/>
        <v>47946.956760000001</v>
      </c>
      <c r="AU15" s="22">
        <f t="shared" si="40"/>
        <v>31964.637839999999</v>
      </c>
      <c r="AV15" s="22">
        <f t="shared" si="41"/>
        <v>207770.14595999999</v>
      </c>
      <c r="AW15" s="22">
        <f t="shared" si="42"/>
        <v>0</v>
      </c>
      <c r="AX15" s="22">
        <f t="shared" si="43"/>
        <v>0</v>
      </c>
      <c r="AY15" s="22">
        <f t="shared" si="44"/>
        <v>47946.956760000001</v>
      </c>
      <c r="AZ15" s="22">
        <f t="shared" si="45"/>
        <v>0</v>
      </c>
      <c r="BA15" s="22">
        <f t="shared" si="46"/>
        <v>47946.956760000001</v>
      </c>
      <c r="BB15" s="22">
        <f t="shared" si="47"/>
        <v>63929.275679999999</v>
      </c>
      <c r="BC15" s="22">
        <f t="shared" si="48"/>
        <v>0</v>
      </c>
      <c r="BD15" s="22">
        <f t="shared" si="49"/>
        <v>47946.956760000001</v>
      </c>
      <c r="BE15" s="22">
        <f t="shared" si="50"/>
        <v>79911.594599999997</v>
      </c>
      <c r="BF15" s="22">
        <f t="shared" si="51"/>
        <v>0</v>
      </c>
      <c r="BG15" s="22">
        <f t="shared" si="52"/>
        <v>0</v>
      </c>
      <c r="BH15" s="22">
        <f t="shared" si="53"/>
        <v>0</v>
      </c>
      <c r="BI15" s="22">
        <f t="shared" si="54"/>
        <v>0</v>
      </c>
      <c r="BJ15" s="19" t="s">
        <v>472</v>
      </c>
      <c r="BK15" s="19" t="s">
        <v>473</v>
      </c>
      <c r="BL15" s="43">
        <f t="shared" si="55"/>
        <v>1566267.25416</v>
      </c>
      <c r="BM15" s="39">
        <f t="shared" si="56"/>
        <v>1399702.6400000001</v>
      </c>
    </row>
    <row r="16" spans="1:65" ht="34.5" customHeight="1">
      <c r="A16" s="10" t="s">
        <v>475</v>
      </c>
      <c r="B16" s="10" t="s">
        <v>476</v>
      </c>
      <c r="C16" s="66">
        <v>50</v>
      </c>
      <c r="D16" s="20" t="s">
        <v>479</v>
      </c>
      <c r="E16" s="41">
        <v>5887.19</v>
      </c>
      <c r="F16" s="21">
        <f t="shared" si="0"/>
        <v>588.71899999999994</v>
      </c>
      <c r="G16" s="21">
        <f t="shared" si="1"/>
        <v>111.85660999999999</v>
      </c>
      <c r="H16" s="21">
        <f t="shared" si="2"/>
        <v>6587.7656099999995</v>
      </c>
      <c r="J16" s="10">
        <f t="shared" si="3"/>
        <v>113</v>
      </c>
      <c r="K16" s="10">
        <v>55</v>
      </c>
      <c r="L16" s="10"/>
      <c r="M16" s="10">
        <v>2</v>
      </c>
      <c r="N16" s="242"/>
      <c r="O16" s="10">
        <v>12</v>
      </c>
      <c r="P16" s="10"/>
      <c r="Q16" s="10">
        <v>5</v>
      </c>
      <c r="R16" s="10"/>
      <c r="S16" s="10">
        <v>2</v>
      </c>
      <c r="T16" s="10">
        <v>2</v>
      </c>
      <c r="U16" s="10">
        <v>3</v>
      </c>
      <c r="V16" s="10"/>
      <c r="W16" s="10"/>
      <c r="X16" s="10"/>
      <c r="Y16" s="10">
        <v>2</v>
      </c>
      <c r="Z16" s="10">
        <v>8</v>
      </c>
      <c r="AA16" s="10">
        <v>2</v>
      </c>
      <c r="AB16" s="10">
        <v>4</v>
      </c>
      <c r="AC16" s="10">
        <v>8</v>
      </c>
      <c r="AD16" s="10"/>
      <c r="AE16" s="10">
        <v>5</v>
      </c>
      <c r="AF16" s="10"/>
      <c r="AG16" s="10">
        <v>3</v>
      </c>
      <c r="AH16" s="10"/>
      <c r="AI16" s="10"/>
      <c r="AK16" s="22">
        <f t="shared" si="30"/>
        <v>362327.10854999995</v>
      </c>
      <c r="AL16" s="22">
        <f t="shared" si="31"/>
        <v>0</v>
      </c>
      <c r="AM16" s="22">
        <f t="shared" si="32"/>
        <v>13175.531219999999</v>
      </c>
      <c r="AN16" s="22">
        <f t="shared" si="33"/>
        <v>0</v>
      </c>
      <c r="AO16" s="22">
        <f t="shared" si="34"/>
        <v>79053.187319999997</v>
      </c>
      <c r="AP16" s="22">
        <f t="shared" si="35"/>
        <v>0</v>
      </c>
      <c r="AQ16" s="22">
        <f t="shared" si="36"/>
        <v>32938.828049999996</v>
      </c>
      <c r="AR16" s="22">
        <f t="shared" si="37"/>
        <v>0</v>
      </c>
      <c r="AS16" s="22">
        <f t="shared" si="38"/>
        <v>13175.531219999999</v>
      </c>
      <c r="AT16" s="22">
        <f t="shared" si="39"/>
        <v>13175.531219999999</v>
      </c>
      <c r="AU16" s="22">
        <f t="shared" si="40"/>
        <v>19763.296829999999</v>
      </c>
      <c r="AV16" s="22">
        <f t="shared" si="41"/>
        <v>0</v>
      </c>
      <c r="AW16" s="22">
        <f t="shared" si="42"/>
        <v>0</v>
      </c>
      <c r="AX16" s="22">
        <f t="shared" si="43"/>
        <v>0</v>
      </c>
      <c r="AY16" s="22">
        <f t="shared" si="44"/>
        <v>13175.531219999999</v>
      </c>
      <c r="AZ16" s="22">
        <f t="shared" si="45"/>
        <v>52702.124879999996</v>
      </c>
      <c r="BA16" s="22">
        <f t="shared" si="46"/>
        <v>13175.531219999999</v>
      </c>
      <c r="BB16" s="22">
        <f t="shared" si="47"/>
        <v>26351.062439999998</v>
      </c>
      <c r="BC16" s="22">
        <f t="shared" si="48"/>
        <v>52702.124879999996</v>
      </c>
      <c r="BD16" s="22">
        <f t="shared" si="49"/>
        <v>0</v>
      </c>
      <c r="BE16" s="22">
        <f t="shared" si="50"/>
        <v>32938.828049999996</v>
      </c>
      <c r="BF16" s="22">
        <f t="shared" si="51"/>
        <v>0</v>
      </c>
      <c r="BG16" s="22">
        <f t="shared" si="52"/>
        <v>19763.296829999999</v>
      </c>
      <c r="BH16" s="22">
        <f t="shared" si="53"/>
        <v>0</v>
      </c>
      <c r="BI16" s="22">
        <f t="shared" si="54"/>
        <v>0</v>
      </c>
      <c r="BJ16" s="19" t="s">
        <v>475</v>
      </c>
      <c r="BK16" s="19" t="s">
        <v>476</v>
      </c>
      <c r="BL16" s="43">
        <f t="shared" si="55"/>
        <v>744417.5139299999</v>
      </c>
      <c r="BM16" s="39">
        <f t="shared" si="56"/>
        <v>665252.47</v>
      </c>
    </row>
    <row r="17" spans="1:65" ht="56.25">
      <c r="A17" s="10" t="s">
        <v>475</v>
      </c>
      <c r="B17" s="10" t="s">
        <v>476</v>
      </c>
      <c r="C17" s="66">
        <v>52</v>
      </c>
      <c r="D17" s="20" t="s">
        <v>480</v>
      </c>
      <c r="E17" s="41">
        <v>5775.93</v>
      </c>
      <c r="F17" s="21">
        <f t="shared" si="0"/>
        <v>577.59300000000007</v>
      </c>
      <c r="G17" s="21">
        <f t="shared" si="1"/>
        <v>109.74267000000002</v>
      </c>
      <c r="H17" s="21">
        <f t="shared" si="2"/>
        <v>6463.2656699999998</v>
      </c>
      <c r="J17" s="10">
        <f t="shared" si="3"/>
        <v>53</v>
      </c>
      <c r="K17" s="10">
        <v>24</v>
      </c>
      <c r="L17" s="10"/>
      <c r="M17" s="10"/>
      <c r="N17" s="242"/>
      <c r="O17" s="10"/>
      <c r="P17" s="10"/>
      <c r="Q17" s="10"/>
      <c r="R17" s="10"/>
      <c r="S17" s="10">
        <v>3</v>
      </c>
      <c r="T17" s="10">
        <v>3</v>
      </c>
      <c r="U17" s="10">
        <v>3</v>
      </c>
      <c r="V17" s="10"/>
      <c r="W17" s="10">
        <v>2</v>
      </c>
      <c r="X17" s="10"/>
      <c r="Y17" s="10">
        <v>3</v>
      </c>
      <c r="Z17" s="10">
        <v>2</v>
      </c>
      <c r="AA17" s="10">
        <v>3</v>
      </c>
      <c r="AB17" s="10">
        <v>6</v>
      </c>
      <c r="AC17" s="10"/>
      <c r="AD17" s="10"/>
      <c r="AE17" s="10">
        <v>2</v>
      </c>
      <c r="AF17" s="10"/>
      <c r="AG17" s="10">
        <v>2</v>
      </c>
      <c r="AH17" s="10"/>
      <c r="AI17" s="10"/>
      <c r="AK17" s="22">
        <f t="shared" si="30"/>
        <v>155118.37607999999</v>
      </c>
      <c r="AL17" s="22">
        <f t="shared" si="31"/>
        <v>0</v>
      </c>
      <c r="AM17" s="22">
        <f t="shared" si="32"/>
        <v>0</v>
      </c>
      <c r="AN17" s="22">
        <f t="shared" si="33"/>
        <v>0</v>
      </c>
      <c r="AO17" s="22">
        <f t="shared" si="34"/>
        <v>0</v>
      </c>
      <c r="AP17" s="22">
        <f t="shared" si="35"/>
        <v>0</v>
      </c>
      <c r="AQ17" s="22">
        <f t="shared" si="36"/>
        <v>0</v>
      </c>
      <c r="AR17" s="22">
        <f t="shared" si="37"/>
        <v>0</v>
      </c>
      <c r="AS17" s="22">
        <f t="shared" si="38"/>
        <v>19389.797009999998</v>
      </c>
      <c r="AT17" s="22">
        <f t="shared" si="39"/>
        <v>19389.797009999998</v>
      </c>
      <c r="AU17" s="22">
        <f t="shared" si="40"/>
        <v>19389.797009999998</v>
      </c>
      <c r="AV17" s="22">
        <f t="shared" si="41"/>
        <v>0</v>
      </c>
      <c r="AW17" s="22">
        <f t="shared" si="42"/>
        <v>12926.53134</v>
      </c>
      <c r="AX17" s="22">
        <f t="shared" si="43"/>
        <v>0</v>
      </c>
      <c r="AY17" s="22">
        <f t="shared" si="44"/>
        <v>19389.797009999998</v>
      </c>
      <c r="AZ17" s="22">
        <f t="shared" si="45"/>
        <v>12926.53134</v>
      </c>
      <c r="BA17" s="22">
        <f t="shared" si="46"/>
        <v>19389.797009999998</v>
      </c>
      <c r="BB17" s="22">
        <f t="shared" si="47"/>
        <v>38779.594019999997</v>
      </c>
      <c r="BC17" s="22">
        <f t="shared" si="48"/>
        <v>0</v>
      </c>
      <c r="BD17" s="22">
        <f t="shared" si="49"/>
        <v>0</v>
      </c>
      <c r="BE17" s="22">
        <f t="shared" si="50"/>
        <v>12926.53134</v>
      </c>
      <c r="BF17" s="22">
        <f t="shared" si="51"/>
        <v>0</v>
      </c>
      <c r="BG17" s="22">
        <f t="shared" si="52"/>
        <v>12926.53134</v>
      </c>
      <c r="BH17" s="22">
        <f t="shared" si="53"/>
        <v>0</v>
      </c>
      <c r="BI17" s="22">
        <f t="shared" si="54"/>
        <v>0</v>
      </c>
      <c r="BJ17" s="19" t="s">
        <v>475</v>
      </c>
      <c r="BK17" s="19" t="s">
        <v>476</v>
      </c>
      <c r="BL17" s="43">
        <f t="shared" si="55"/>
        <v>342553.08051</v>
      </c>
      <c r="BM17" s="39">
        <f t="shared" si="56"/>
        <v>306124.29000000004</v>
      </c>
    </row>
    <row r="18" spans="1:65" ht="34.5" customHeight="1">
      <c r="A18" s="10" t="s">
        <v>458</v>
      </c>
      <c r="B18" s="10" t="s">
        <v>459</v>
      </c>
      <c r="C18" s="66">
        <v>55</v>
      </c>
      <c r="D18" s="20" t="s">
        <v>481</v>
      </c>
      <c r="E18" s="41">
        <v>12660.53</v>
      </c>
      <c r="F18" s="21">
        <f t="shared" si="0"/>
        <v>1266.0530000000001</v>
      </c>
      <c r="G18" s="21">
        <f t="shared" si="1"/>
        <v>240.55007000000003</v>
      </c>
      <c r="H18" s="21">
        <f t="shared" si="2"/>
        <v>14167.13307</v>
      </c>
      <c r="J18" s="10">
        <f t="shared" si="3"/>
        <v>15</v>
      </c>
      <c r="K18" s="10"/>
      <c r="L18" s="10"/>
      <c r="M18" s="10"/>
      <c r="N18" s="242"/>
      <c r="O18" s="10">
        <v>3</v>
      </c>
      <c r="P18" s="10"/>
      <c r="Q18" s="10"/>
      <c r="R18" s="10"/>
      <c r="S18" s="10">
        <v>3</v>
      </c>
      <c r="T18" s="10"/>
      <c r="U18" s="10">
        <v>3</v>
      </c>
      <c r="V18" s="10"/>
      <c r="W18" s="10"/>
      <c r="X18" s="10"/>
      <c r="Y18" s="10">
        <v>3</v>
      </c>
      <c r="Z18" s="10"/>
      <c r="AA18" s="10">
        <v>3</v>
      </c>
      <c r="AB18" s="10"/>
      <c r="AC18" s="10"/>
      <c r="AD18" s="10"/>
      <c r="AE18" s="10"/>
      <c r="AF18" s="10"/>
      <c r="AG18" s="10"/>
      <c r="AH18" s="10"/>
      <c r="AI18" s="10"/>
      <c r="AK18" s="22">
        <f t="shared" si="30"/>
        <v>0</v>
      </c>
      <c r="AL18" s="22">
        <f t="shared" si="31"/>
        <v>0</v>
      </c>
      <c r="AM18" s="22">
        <f t="shared" si="32"/>
        <v>0</v>
      </c>
      <c r="AN18" s="22">
        <f t="shared" si="33"/>
        <v>0</v>
      </c>
      <c r="AO18" s="22">
        <f t="shared" si="34"/>
        <v>42501.399210000003</v>
      </c>
      <c r="AP18" s="22">
        <f t="shared" si="35"/>
        <v>0</v>
      </c>
      <c r="AQ18" s="22">
        <f t="shared" si="36"/>
        <v>0</v>
      </c>
      <c r="AR18" s="22">
        <f t="shared" si="37"/>
        <v>0</v>
      </c>
      <c r="AS18" s="22">
        <f t="shared" si="38"/>
        <v>42501.399210000003</v>
      </c>
      <c r="AT18" s="22">
        <f t="shared" si="39"/>
        <v>0</v>
      </c>
      <c r="AU18" s="22">
        <f t="shared" si="40"/>
        <v>42501.399210000003</v>
      </c>
      <c r="AV18" s="22">
        <f t="shared" si="41"/>
        <v>0</v>
      </c>
      <c r="AW18" s="22">
        <f t="shared" si="42"/>
        <v>0</v>
      </c>
      <c r="AX18" s="22">
        <f t="shared" si="43"/>
        <v>0</v>
      </c>
      <c r="AY18" s="22">
        <f t="shared" si="44"/>
        <v>42501.399210000003</v>
      </c>
      <c r="AZ18" s="22">
        <f t="shared" si="45"/>
        <v>0</v>
      </c>
      <c r="BA18" s="22">
        <f t="shared" si="46"/>
        <v>42501.399210000003</v>
      </c>
      <c r="BB18" s="22">
        <f t="shared" si="47"/>
        <v>0</v>
      </c>
      <c r="BC18" s="22">
        <f t="shared" si="48"/>
        <v>0</v>
      </c>
      <c r="BD18" s="22">
        <f t="shared" si="49"/>
        <v>0</v>
      </c>
      <c r="BE18" s="22">
        <f t="shared" si="50"/>
        <v>0</v>
      </c>
      <c r="BF18" s="22">
        <f t="shared" si="51"/>
        <v>0</v>
      </c>
      <c r="BG18" s="22">
        <f t="shared" si="52"/>
        <v>0</v>
      </c>
      <c r="BH18" s="22">
        <f t="shared" si="53"/>
        <v>0</v>
      </c>
      <c r="BI18" s="22">
        <f t="shared" si="54"/>
        <v>0</v>
      </c>
      <c r="BJ18" s="19" t="s">
        <v>458</v>
      </c>
      <c r="BK18" s="19" t="s">
        <v>459</v>
      </c>
      <c r="BL18" s="43">
        <f t="shared" si="55"/>
        <v>212506.99604999999</v>
      </c>
      <c r="BM18" s="39">
        <f t="shared" si="56"/>
        <v>189907.95</v>
      </c>
    </row>
    <row r="19" spans="1:65" ht="34.5" customHeight="1">
      <c r="A19" s="10" t="s">
        <v>482</v>
      </c>
      <c r="B19" s="10" t="s">
        <v>483</v>
      </c>
      <c r="C19" s="66">
        <v>60</v>
      </c>
      <c r="D19" s="20" t="s">
        <v>484</v>
      </c>
      <c r="E19" s="41">
        <v>4686.72</v>
      </c>
      <c r="F19" s="21">
        <f t="shared" si="0"/>
        <v>468.67200000000003</v>
      </c>
      <c r="G19" s="21">
        <f t="shared" si="1"/>
        <v>89.04768</v>
      </c>
      <c r="H19" s="21">
        <f t="shared" si="2"/>
        <v>5244.4396799999995</v>
      </c>
      <c r="J19" s="10">
        <f t="shared" si="3"/>
        <v>102</v>
      </c>
      <c r="K19" s="10">
        <v>36</v>
      </c>
      <c r="L19" s="10"/>
      <c r="M19" s="10">
        <v>3</v>
      </c>
      <c r="N19" s="242"/>
      <c r="O19" s="10">
        <v>5</v>
      </c>
      <c r="P19" s="10"/>
      <c r="Q19" s="10">
        <v>6</v>
      </c>
      <c r="R19" s="10"/>
      <c r="S19" s="10">
        <v>2</v>
      </c>
      <c r="T19" s="10">
        <v>3</v>
      </c>
      <c r="U19" s="10">
        <v>2</v>
      </c>
      <c r="V19" s="10">
        <v>2</v>
      </c>
      <c r="W19" s="10">
        <v>3</v>
      </c>
      <c r="X19" s="10">
        <v>3</v>
      </c>
      <c r="Y19" s="10">
        <v>3</v>
      </c>
      <c r="Z19" s="10"/>
      <c r="AA19" s="10">
        <v>3</v>
      </c>
      <c r="AB19" s="10">
        <v>6</v>
      </c>
      <c r="AC19" s="10">
        <v>5</v>
      </c>
      <c r="AD19" s="10">
        <v>6</v>
      </c>
      <c r="AE19" s="10">
        <v>6</v>
      </c>
      <c r="AF19" s="10">
        <v>3</v>
      </c>
      <c r="AG19" s="10">
        <v>3</v>
      </c>
      <c r="AH19" s="10"/>
      <c r="AI19" s="10">
        <v>2</v>
      </c>
      <c r="AK19" s="22">
        <f t="shared" si="30"/>
        <v>188799.82847999997</v>
      </c>
      <c r="AL19" s="22">
        <f t="shared" si="31"/>
        <v>0</v>
      </c>
      <c r="AM19" s="22">
        <f t="shared" si="32"/>
        <v>15733.319039999998</v>
      </c>
      <c r="AN19" s="22">
        <f t="shared" si="33"/>
        <v>0</v>
      </c>
      <c r="AO19" s="22">
        <f t="shared" si="34"/>
        <v>26222.198399999997</v>
      </c>
      <c r="AP19" s="22">
        <f t="shared" si="35"/>
        <v>0</v>
      </c>
      <c r="AQ19" s="22">
        <f t="shared" si="36"/>
        <v>31466.638079999997</v>
      </c>
      <c r="AR19" s="22">
        <f t="shared" si="37"/>
        <v>0</v>
      </c>
      <c r="AS19" s="22">
        <f t="shared" si="38"/>
        <v>10488.879359999999</v>
      </c>
      <c r="AT19" s="22">
        <f t="shared" si="39"/>
        <v>15733.319039999998</v>
      </c>
      <c r="AU19" s="22">
        <f t="shared" si="40"/>
        <v>10488.879359999999</v>
      </c>
      <c r="AV19" s="22">
        <f t="shared" si="41"/>
        <v>10488.879359999999</v>
      </c>
      <c r="AW19" s="22">
        <f t="shared" si="42"/>
        <v>15733.319039999998</v>
      </c>
      <c r="AX19" s="22">
        <f t="shared" si="43"/>
        <v>15733.319039999998</v>
      </c>
      <c r="AY19" s="22">
        <f t="shared" si="44"/>
        <v>15733.319039999998</v>
      </c>
      <c r="AZ19" s="22">
        <f t="shared" si="45"/>
        <v>0</v>
      </c>
      <c r="BA19" s="22">
        <f t="shared" si="46"/>
        <v>15733.319039999998</v>
      </c>
      <c r="BB19" s="22">
        <f t="shared" si="47"/>
        <v>31466.638079999997</v>
      </c>
      <c r="BC19" s="22">
        <f t="shared" si="48"/>
        <v>26222.198399999997</v>
      </c>
      <c r="BD19" s="22">
        <f t="shared" si="49"/>
        <v>31466.638079999997</v>
      </c>
      <c r="BE19" s="22">
        <f t="shared" si="50"/>
        <v>31466.638079999997</v>
      </c>
      <c r="BF19" s="22">
        <f t="shared" si="51"/>
        <v>15733.319039999998</v>
      </c>
      <c r="BG19" s="22">
        <f t="shared" si="52"/>
        <v>15733.319039999998</v>
      </c>
      <c r="BH19" s="22">
        <f t="shared" si="53"/>
        <v>0</v>
      </c>
      <c r="BI19" s="22">
        <f t="shared" si="54"/>
        <v>10488.879359999999</v>
      </c>
      <c r="BJ19" s="19" t="s">
        <v>482</v>
      </c>
      <c r="BK19" s="19" t="s">
        <v>483</v>
      </c>
      <c r="BL19" s="43">
        <f t="shared" si="55"/>
        <v>534932.8473599999</v>
      </c>
      <c r="BM19" s="39">
        <f t="shared" si="56"/>
        <v>478045.44</v>
      </c>
    </row>
    <row r="20" spans="1:65" ht="34.5" customHeight="1">
      <c r="A20" s="10" t="s">
        <v>482</v>
      </c>
      <c r="B20" s="10" t="s">
        <v>483</v>
      </c>
      <c r="C20" s="66">
        <v>61</v>
      </c>
      <c r="D20" s="20" t="s">
        <v>485</v>
      </c>
      <c r="E20" s="41">
        <v>6251.3</v>
      </c>
      <c r="F20" s="21">
        <f t="shared" si="0"/>
        <v>625.13000000000011</v>
      </c>
      <c r="G20" s="21">
        <f t="shared" si="1"/>
        <v>118.77470000000002</v>
      </c>
      <c r="H20" s="21">
        <f t="shared" si="2"/>
        <v>6995.2047000000002</v>
      </c>
      <c r="J20" s="10">
        <f t="shared" si="3"/>
        <v>82</v>
      </c>
      <c r="K20" s="10">
        <v>10</v>
      </c>
      <c r="L20" s="10"/>
      <c r="M20" s="10">
        <v>2</v>
      </c>
      <c r="N20" s="242"/>
      <c r="O20" s="10">
        <v>6</v>
      </c>
      <c r="P20" s="10"/>
      <c r="Q20" s="10"/>
      <c r="R20" s="10"/>
      <c r="S20" s="10">
        <v>2</v>
      </c>
      <c r="T20" s="10">
        <v>2</v>
      </c>
      <c r="U20" s="10">
        <v>3</v>
      </c>
      <c r="V20" s="10">
        <v>2</v>
      </c>
      <c r="W20" s="10">
        <v>3</v>
      </c>
      <c r="X20" s="10">
        <v>2</v>
      </c>
      <c r="Y20" s="10">
        <v>2</v>
      </c>
      <c r="Z20" s="10">
        <v>25</v>
      </c>
      <c r="AA20" s="10">
        <v>2</v>
      </c>
      <c r="AB20" s="10"/>
      <c r="AC20" s="10">
        <v>10</v>
      </c>
      <c r="AD20" s="10">
        <v>5</v>
      </c>
      <c r="AE20" s="10">
        <v>3</v>
      </c>
      <c r="AF20" s="10"/>
      <c r="AG20" s="10">
        <v>3</v>
      </c>
      <c r="AH20" s="10"/>
      <c r="AI20" s="10"/>
      <c r="AK20" s="22">
        <f t="shared" si="30"/>
        <v>69952.047000000006</v>
      </c>
      <c r="AL20" s="22">
        <f t="shared" si="31"/>
        <v>0</v>
      </c>
      <c r="AM20" s="22">
        <f t="shared" si="32"/>
        <v>13990.4094</v>
      </c>
      <c r="AN20" s="22">
        <f t="shared" si="33"/>
        <v>0</v>
      </c>
      <c r="AO20" s="22">
        <f t="shared" si="34"/>
        <v>41971.228199999998</v>
      </c>
      <c r="AP20" s="22">
        <f t="shared" si="35"/>
        <v>0</v>
      </c>
      <c r="AQ20" s="22">
        <f t="shared" si="36"/>
        <v>0</v>
      </c>
      <c r="AR20" s="22">
        <f t="shared" si="37"/>
        <v>0</v>
      </c>
      <c r="AS20" s="22">
        <f t="shared" si="38"/>
        <v>13990.4094</v>
      </c>
      <c r="AT20" s="22">
        <f t="shared" si="39"/>
        <v>13990.4094</v>
      </c>
      <c r="AU20" s="22">
        <f t="shared" si="40"/>
        <v>20985.614099999999</v>
      </c>
      <c r="AV20" s="22">
        <f t="shared" si="41"/>
        <v>13990.4094</v>
      </c>
      <c r="AW20" s="22">
        <f t="shared" si="42"/>
        <v>20985.614099999999</v>
      </c>
      <c r="AX20" s="22">
        <f t="shared" si="43"/>
        <v>13990.4094</v>
      </c>
      <c r="AY20" s="22">
        <f t="shared" si="44"/>
        <v>13990.4094</v>
      </c>
      <c r="AZ20" s="22">
        <f t="shared" si="45"/>
        <v>174880.11749999999</v>
      </c>
      <c r="BA20" s="22">
        <f t="shared" si="46"/>
        <v>13990.4094</v>
      </c>
      <c r="BB20" s="22">
        <f t="shared" si="47"/>
        <v>0</v>
      </c>
      <c r="BC20" s="22">
        <f t="shared" si="48"/>
        <v>69952.047000000006</v>
      </c>
      <c r="BD20" s="22">
        <f t="shared" si="49"/>
        <v>34976.023500000003</v>
      </c>
      <c r="BE20" s="22">
        <f t="shared" si="50"/>
        <v>20985.614099999999</v>
      </c>
      <c r="BF20" s="22">
        <f t="shared" si="51"/>
        <v>0</v>
      </c>
      <c r="BG20" s="22">
        <f t="shared" si="52"/>
        <v>20985.614099999999</v>
      </c>
      <c r="BH20" s="22">
        <f t="shared" si="53"/>
        <v>0</v>
      </c>
      <c r="BI20" s="22">
        <f t="shared" si="54"/>
        <v>0</v>
      </c>
      <c r="BJ20" s="19" t="s">
        <v>482</v>
      </c>
      <c r="BK20" s="19" t="s">
        <v>483</v>
      </c>
      <c r="BL20" s="43">
        <f t="shared" si="55"/>
        <v>573606.78540000005</v>
      </c>
      <c r="BM20" s="39">
        <f t="shared" si="56"/>
        <v>512606.60000000003</v>
      </c>
    </row>
    <row r="21" spans="1:65" ht="22.5">
      <c r="A21" s="10" t="s">
        <v>486</v>
      </c>
      <c r="B21" s="10" t="s">
        <v>487</v>
      </c>
      <c r="C21" s="66">
        <v>62</v>
      </c>
      <c r="D21" s="20" t="s">
        <v>488</v>
      </c>
      <c r="E21" s="41">
        <v>7886.67</v>
      </c>
      <c r="F21" s="21">
        <f t="shared" si="0"/>
        <v>788.66700000000003</v>
      </c>
      <c r="G21" s="21">
        <f t="shared" si="1"/>
        <v>149.84673000000001</v>
      </c>
      <c r="H21" s="21">
        <f t="shared" si="2"/>
        <v>8825.1837299999988</v>
      </c>
      <c r="J21" s="10">
        <f t="shared" si="3"/>
        <v>16</v>
      </c>
      <c r="K21" s="10">
        <v>5</v>
      </c>
      <c r="L21" s="10"/>
      <c r="M21" s="10"/>
      <c r="N21" s="242"/>
      <c r="O21" s="10"/>
      <c r="P21" s="10"/>
      <c r="Q21" s="10"/>
      <c r="R21" s="10"/>
      <c r="S21" s="10"/>
      <c r="T21" s="10"/>
      <c r="U21" s="10">
        <v>4</v>
      </c>
      <c r="V21" s="10">
        <v>5</v>
      </c>
      <c r="W21" s="10"/>
      <c r="X21" s="10"/>
      <c r="Y21" s="10"/>
      <c r="Z21" s="10"/>
      <c r="AA21" s="10"/>
      <c r="AB21" s="10"/>
      <c r="AC21" s="10"/>
      <c r="AD21" s="10"/>
      <c r="AE21" s="10"/>
      <c r="AF21" s="10">
        <v>1</v>
      </c>
      <c r="AG21" s="10"/>
      <c r="AH21" s="10">
        <v>1</v>
      </c>
      <c r="AI21" s="10"/>
      <c r="AK21" s="22">
        <f t="shared" si="30"/>
        <v>44125.918649999992</v>
      </c>
      <c r="AL21" s="22">
        <f t="shared" si="31"/>
        <v>0</v>
      </c>
      <c r="AM21" s="22">
        <f t="shared" si="32"/>
        <v>0</v>
      </c>
      <c r="AN21" s="22">
        <f t="shared" si="33"/>
        <v>0</v>
      </c>
      <c r="AO21" s="22">
        <f t="shared" si="34"/>
        <v>0</v>
      </c>
      <c r="AP21" s="22">
        <f t="shared" si="35"/>
        <v>0</v>
      </c>
      <c r="AQ21" s="22">
        <f t="shared" si="36"/>
        <v>0</v>
      </c>
      <c r="AR21" s="22">
        <f t="shared" si="37"/>
        <v>0</v>
      </c>
      <c r="AS21" s="22">
        <f t="shared" si="38"/>
        <v>0</v>
      </c>
      <c r="AT21" s="22">
        <f t="shared" si="39"/>
        <v>0</v>
      </c>
      <c r="AU21" s="22">
        <f t="shared" si="40"/>
        <v>35300.734919999995</v>
      </c>
      <c r="AV21" s="22">
        <f t="shared" si="41"/>
        <v>44125.918649999992</v>
      </c>
      <c r="AW21" s="22">
        <f t="shared" si="42"/>
        <v>0</v>
      </c>
      <c r="AX21" s="22">
        <f t="shared" si="43"/>
        <v>0</v>
      </c>
      <c r="AY21" s="22">
        <f t="shared" si="44"/>
        <v>0</v>
      </c>
      <c r="AZ21" s="22">
        <f t="shared" si="45"/>
        <v>0</v>
      </c>
      <c r="BA21" s="22">
        <f t="shared" si="46"/>
        <v>0</v>
      </c>
      <c r="BB21" s="22">
        <f t="shared" si="47"/>
        <v>0</v>
      </c>
      <c r="BC21" s="22">
        <f t="shared" si="48"/>
        <v>0</v>
      </c>
      <c r="BD21" s="22">
        <f t="shared" si="49"/>
        <v>0</v>
      </c>
      <c r="BE21" s="22">
        <f t="shared" si="50"/>
        <v>0</v>
      </c>
      <c r="BF21" s="22">
        <f t="shared" si="51"/>
        <v>8825.1837299999988</v>
      </c>
      <c r="BG21" s="22">
        <f t="shared" si="52"/>
        <v>0</v>
      </c>
      <c r="BH21" s="22">
        <f t="shared" si="53"/>
        <v>8825.1837299999988</v>
      </c>
      <c r="BI21" s="22">
        <f t="shared" si="54"/>
        <v>0</v>
      </c>
      <c r="BJ21" s="19" t="s">
        <v>486</v>
      </c>
      <c r="BK21" s="19" t="s">
        <v>487</v>
      </c>
      <c r="BL21" s="43">
        <f t="shared" si="55"/>
        <v>141202.93967999998</v>
      </c>
      <c r="BM21" s="39">
        <f t="shared" si="56"/>
        <v>126186.72</v>
      </c>
    </row>
    <row r="22" spans="1:65" ht="34.5" customHeight="1">
      <c r="A22" s="10" t="s">
        <v>486</v>
      </c>
      <c r="B22" s="10" t="s">
        <v>487</v>
      </c>
      <c r="C22" s="66">
        <v>63</v>
      </c>
      <c r="D22" s="20" t="s">
        <v>489</v>
      </c>
      <c r="E22" s="41">
        <v>8994.5499999999993</v>
      </c>
      <c r="F22" s="21">
        <f t="shared" si="0"/>
        <v>899.45499999999993</v>
      </c>
      <c r="G22" s="21">
        <f t="shared" si="1"/>
        <v>170.89644999999999</v>
      </c>
      <c r="H22" s="21">
        <f t="shared" si="2"/>
        <v>10064.901449999999</v>
      </c>
      <c r="J22" s="10">
        <f t="shared" si="3"/>
        <v>62</v>
      </c>
      <c r="K22" s="10">
        <v>10</v>
      </c>
      <c r="L22" s="10"/>
      <c r="M22" s="10"/>
      <c r="N22" s="242"/>
      <c r="O22" s="10">
        <v>4</v>
      </c>
      <c r="P22" s="10"/>
      <c r="Q22" s="10"/>
      <c r="R22" s="10"/>
      <c r="S22" s="10"/>
      <c r="T22" s="10"/>
      <c r="U22" s="10">
        <v>2</v>
      </c>
      <c r="V22" s="10"/>
      <c r="W22" s="10">
        <v>3</v>
      </c>
      <c r="X22" s="10"/>
      <c r="Y22" s="10">
        <v>3</v>
      </c>
      <c r="Z22" s="10"/>
      <c r="AA22" s="10">
        <v>3</v>
      </c>
      <c r="AB22" s="10"/>
      <c r="AC22" s="10">
        <v>10</v>
      </c>
      <c r="AD22" s="10"/>
      <c r="AE22" s="10"/>
      <c r="AF22" s="10">
        <v>20</v>
      </c>
      <c r="AG22" s="10"/>
      <c r="AH22" s="10">
        <v>5</v>
      </c>
      <c r="AI22" s="10">
        <v>2</v>
      </c>
      <c r="AK22" s="22">
        <f t="shared" si="30"/>
        <v>100649.01449999999</v>
      </c>
      <c r="AL22" s="22">
        <f t="shared" si="31"/>
        <v>0</v>
      </c>
      <c r="AM22" s="22">
        <f t="shared" si="32"/>
        <v>0</v>
      </c>
      <c r="AN22" s="22">
        <f t="shared" si="33"/>
        <v>0</v>
      </c>
      <c r="AO22" s="22">
        <f t="shared" si="34"/>
        <v>40259.605799999998</v>
      </c>
      <c r="AP22" s="22">
        <f t="shared" si="35"/>
        <v>0</v>
      </c>
      <c r="AQ22" s="22">
        <f t="shared" si="36"/>
        <v>0</v>
      </c>
      <c r="AR22" s="22">
        <f t="shared" si="37"/>
        <v>0</v>
      </c>
      <c r="AS22" s="22">
        <f t="shared" si="38"/>
        <v>0</v>
      </c>
      <c r="AT22" s="22">
        <f t="shared" si="39"/>
        <v>0</v>
      </c>
      <c r="AU22" s="22">
        <f t="shared" si="40"/>
        <v>20129.802899999999</v>
      </c>
      <c r="AV22" s="22">
        <f t="shared" si="41"/>
        <v>0</v>
      </c>
      <c r="AW22" s="22">
        <f t="shared" si="42"/>
        <v>30194.70435</v>
      </c>
      <c r="AX22" s="22">
        <f t="shared" si="43"/>
        <v>0</v>
      </c>
      <c r="AY22" s="22">
        <f t="shared" si="44"/>
        <v>30194.70435</v>
      </c>
      <c r="AZ22" s="22">
        <f t="shared" si="45"/>
        <v>0</v>
      </c>
      <c r="BA22" s="22">
        <f t="shared" si="46"/>
        <v>30194.70435</v>
      </c>
      <c r="BB22" s="22">
        <f t="shared" si="47"/>
        <v>0</v>
      </c>
      <c r="BC22" s="22">
        <f t="shared" si="48"/>
        <v>100649.01449999999</v>
      </c>
      <c r="BD22" s="22">
        <f t="shared" si="49"/>
        <v>0</v>
      </c>
      <c r="BE22" s="22">
        <f t="shared" si="50"/>
        <v>0</v>
      </c>
      <c r="BF22" s="22">
        <f t="shared" si="51"/>
        <v>201298.02899999998</v>
      </c>
      <c r="BG22" s="22">
        <f t="shared" si="52"/>
        <v>0</v>
      </c>
      <c r="BH22" s="22">
        <f t="shared" si="53"/>
        <v>50324.507249999995</v>
      </c>
      <c r="BI22" s="22">
        <f t="shared" si="54"/>
        <v>20129.802899999999</v>
      </c>
      <c r="BJ22" s="19" t="s">
        <v>486</v>
      </c>
      <c r="BK22" s="19" t="s">
        <v>487</v>
      </c>
      <c r="BL22" s="43">
        <f t="shared" si="55"/>
        <v>624023.88989999995</v>
      </c>
      <c r="BM22" s="39">
        <f t="shared" si="56"/>
        <v>557662.1</v>
      </c>
    </row>
    <row r="23" spans="1:65" ht="34.5" customHeight="1">
      <c r="A23" s="10" t="s">
        <v>490</v>
      </c>
      <c r="B23" s="10" t="s">
        <v>491</v>
      </c>
      <c r="C23" s="66">
        <v>64</v>
      </c>
      <c r="D23" s="20" t="s">
        <v>492</v>
      </c>
      <c r="E23" s="41">
        <v>1038.17</v>
      </c>
      <c r="F23" s="21">
        <f t="shared" si="0"/>
        <v>103.81700000000001</v>
      </c>
      <c r="G23" s="21">
        <f t="shared" si="1"/>
        <v>19.725230000000003</v>
      </c>
      <c r="H23" s="21">
        <f t="shared" si="2"/>
        <v>1161.7122300000001</v>
      </c>
      <c r="J23" s="10">
        <f t="shared" si="3"/>
        <v>104</v>
      </c>
      <c r="K23" s="10">
        <v>30</v>
      </c>
      <c r="L23" s="242">
        <v>4</v>
      </c>
      <c r="M23" s="10">
        <v>4</v>
      </c>
      <c r="N23" s="242"/>
      <c r="O23" s="10">
        <v>12</v>
      </c>
      <c r="P23" s="10"/>
      <c r="Q23" s="10">
        <f>4+1</f>
        <v>5</v>
      </c>
      <c r="R23" s="10"/>
      <c r="S23" s="10">
        <v>4</v>
      </c>
      <c r="T23" s="10">
        <v>4</v>
      </c>
      <c r="U23" s="10">
        <v>8</v>
      </c>
      <c r="V23" s="10"/>
      <c r="W23" s="10">
        <v>2</v>
      </c>
      <c r="X23" s="10"/>
      <c r="Y23" s="10">
        <v>4</v>
      </c>
      <c r="Z23" s="10">
        <v>12</v>
      </c>
      <c r="AA23" s="10"/>
      <c r="AB23" s="10">
        <v>6</v>
      </c>
      <c r="AC23" s="10"/>
      <c r="AD23" s="10"/>
      <c r="AE23" s="10"/>
      <c r="AF23" s="10">
        <v>5</v>
      </c>
      <c r="AG23" s="10">
        <v>4</v>
      </c>
      <c r="AH23" s="10"/>
      <c r="AI23" s="10"/>
      <c r="AK23" s="22">
        <f t="shared" si="30"/>
        <v>34851.366900000001</v>
      </c>
      <c r="AL23" s="22">
        <f t="shared" si="31"/>
        <v>4646.8489200000004</v>
      </c>
      <c r="AM23" s="22">
        <f t="shared" si="32"/>
        <v>4646.8489200000004</v>
      </c>
      <c r="AN23" s="22">
        <f t="shared" si="33"/>
        <v>0</v>
      </c>
      <c r="AO23" s="22">
        <f t="shared" si="34"/>
        <v>13940.546760000001</v>
      </c>
      <c r="AP23" s="22">
        <f t="shared" si="35"/>
        <v>0</v>
      </c>
      <c r="AQ23" s="22">
        <f t="shared" si="36"/>
        <v>5808.5611500000005</v>
      </c>
      <c r="AR23" s="22">
        <f t="shared" si="37"/>
        <v>0</v>
      </c>
      <c r="AS23" s="22">
        <f t="shared" si="38"/>
        <v>4646.8489200000004</v>
      </c>
      <c r="AT23" s="22">
        <f t="shared" si="39"/>
        <v>4646.8489200000004</v>
      </c>
      <c r="AU23" s="22">
        <f t="shared" si="40"/>
        <v>9293.6978400000007</v>
      </c>
      <c r="AV23" s="22">
        <f t="shared" si="41"/>
        <v>0</v>
      </c>
      <c r="AW23" s="22">
        <f t="shared" si="42"/>
        <v>2323.4244600000002</v>
      </c>
      <c r="AX23" s="22">
        <f t="shared" si="43"/>
        <v>0</v>
      </c>
      <c r="AY23" s="22">
        <f t="shared" si="44"/>
        <v>4646.8489200000004</v>
      </c>
      <c r="AZ23" s="22">
        <f t="shared" si="45"/>
        <v>13940.546760000001</v>
      </c>
      <c r="BA23" s="22">
        <f t="shared" si="46"/>
        <v>0</v>
      </c>
      <c r="BB23" s="22">
        <f t="shared" si="47"/>
        <v>6970.2733800000005</v>
      </c>
      <c r="BC23" s="22">
        <f t="shared" si="48"/>
        <v>0</v>
      </c>
      <c r="BD23" s="22">
        <f t="shared" si="49"/>
        <v>0</v>
      </c>
      <c r="BE23" s="22">
        <f t="shared" si="50"/>
        <v>0</v>
      </c>
      <c r="BF23" s="22">
        <f t="shared" si="51"/>
        <v>5808.5611500000005</v>
      </c>
      <c r="BG23" s="22">
        <f t="shared" si="52"/>
        <v>4646.8489200000004</v>
      </c>
      <c r="BH23" s="22">
        <f t="shared" si="53"/>
        <v>0</v>
      </c>
      <c r="BI23" s="22">
        <f t="shared" si="54"/>
        <v>0</v>
      </c>
      <c r="BJ23" s="19" t="s">
        <v>490</v>
      </c>
      <c r="BK23" s="19" t="s">
        <v>491</v>
      </c>
      <c r="BL23" s="43">
        <f t="shared" si="55"/>
        <v>120818.07192000002</v>
      </c>
      <c r="BM23" s="39">
        <f t="shared" si="56"/>
        <v>107969.68000000001</v>
      </c>
    </row>
    <row r="24" spans="1:65" ht="34.5" customHeight="1">
      <c r="A24" s="10" t="s">
        <v>490</v>
      </c>
      <c r="B24" s="10" t="s">
        <v>491</v>
      </c>
      <c r="C24" s="66">
        <v>65</v>
      </c>
      <c r="D24" s="20" t="s">
        <v>493</v>
      </c>
      <c r="E24" s="41">
        <v>1282.1600000000001</v>
      </c>
      <c r="F24" s="21">
        <f t="shared" si="0"/>
        <v>128.21600000000001</v>
      </c>
      <c r="G24" s="21">
        <f t="shared" si="1"/>
        <v>24.361040000000003</v>
      </c>
      <c r="H24" s="21">
        <f t="shared" si="2"/>
        <v>1434.7370400000002</v>
      </c>
      <c r="J24" s="10">
        <f t="shared" si="3"/>
        <v>64</v>
      </c>
      <c r="K24" s="10">
        <v>20</v>
      </c>
      <c r="L24" s="242">
        <v>2</v>
      </c>
      <c r="M24" s="10">
        <v>2</v>
      </c>
      <c r="N24" s="242"/>
      <c r="O24" s="10">
        <v>2</v>
      </c>
      <c r="P24" s="10"/>
      <c r="Q24" s="10"/>
      <c r="R24" s="10"/>
      <c r="S24" s="10">
        <v>2</v>
      </c>
      <c r="T24" s="10">
        <v>2</v>
      </c>
      <c r="U24" s="10">
        <v>8</v>
      </c>
      <c r="V24" s="10"/>
      <c r="W24" s="10">
        <v>2</v>
      </c>
      <c r="X24" s="10"/>
      <c r="Y24" s="10">
        <v>2</v>
      </c>
      <c r="Z24" s="10">
        <v>10</v>
      </c>
      <c r="AA24" s="10">
        <v>2</v>
      </c>
      <c r="AB24" s="10"/>
      <c r="AC24" s="10"/>
      <c r="AD24" s="10">
        <v>5</v>
      </c>
      <c r="AE24" s="10"/>
      <c r="AF24" s="10">
        <v>5</v>
      </c>
      <c r="AG24" s="10"/>
      <c r="AH24" s="10"/>
      <c r="AI24" s="10"/>
      <c r="AK24" s="22">
        <f t="shared" si="30"/>
        <v>28694.740800000003</v>
      </c>
      <c r="AL24" s="22">
        <f t="shared" si="31"/>
        <v>2869.4740800000004</v>
      </c>
      <c r="AM24" s="22">
        <f t="shared" si="32"/>
        <v>2869.4740800000004</v>
      </c>
      <c r="AN24" s="22">
        <f t="shared" si="33"/>
        <v>0</v>
      </c>
      <c r="AO24" s="22">
        <f t="shared" si="34"/>
        <v>2869.4740800000004</v>
      </c>
      <c r="AP24" s="22">
        <f t="shared" si="35"/>
        <v>0</v>
      </c>
      <c r="AQ24" s="22">
        <f t="shared" si="36"/>
        <v>0</v>
      </c>
      <c r="AR24" s="22">
        <f t="shared" si="37"/>
        <v>0</v>
      </c>
      <c r="AS24" s="22">
        <f t="shared" si="38"/>
        <v>2869.4740800000004</v>
      </c>
      <c r="AT24" s="22">
        <f t="shared" si="39"/>
        <v>2869.4740800000004</v>
      </c>
      <c r="AU24" s="22">
        <f t="shared" si="40"/>
        <v>11477.896320000002</v>
      </c>
      <c r="AV24" s="22">
        <f t="shared" si="41"/>
        <v>0</v>
      </c>
      <c r="AW24" s="22">
        <f t="shared" si="42"/>
        <v>2869.4740800000004</v>
      </c>
      <c r="AX24" s="22">
        <f t="shared" si="43"/>
        <v>0</v>
      </c>
      <c r="AY24" s="22">
        <f t="shared" si="44"/>
        <v>2869.4740800000004</v>
      </c>
      <c r="AZ24" s="22">
        <f t="shared" si="45"/>
        <v>14347.370400000002</v>
      </c>
      <c r="BA24" s="22">
        <f t="shared" si="46"/>
        <v>2869.4740800000004</v>
      </c>
      <c r="BB24" s="22">
        <f t="shared" si="47"/>
        <v>0</v>
      </c>
      <c r="BC24" s="22">
        <f t="shared" si="48"/>
        <v>0</v>
      </c>
      <c r="BD24" s="22">
        <f t="shared" si="49"/>
        <v>7173.6852000000008</v>
      </c>
      <c r="BE24" s="22">
        <f t="shared" si="50"/>
        <v>0</v>
      </c>
      <c r="BF24" s="22">
        <f t="shared" si="51"/>
        <v>7173.6852000000008</v>
      </c>
      <c r="BG24" s="22">
        <f t="shared" si="52"/>
        <v>0</v>
      </c>
      <c r="BH24" s="22">
        <f t="shared" si="53"/>
        <v>0</v>
      </c>
      <c r="BI24" s="22">
        <f t="shared" si="54"/>
        <v>0</v>
      </c>
      <c r="BJ24" s="19" t="s">
        <v>490</v>
      </c>
      <c r="BK24" s="19" t="s">
        <v>491</v>
      </c>
      <c r="BL24" s="43">
        <f t="shared" si="55"/>
        <v>91823.170560000013</v>
      </c>
      <c r="BM24" s="39">
        <f t="shared" si="56"/>
        <v>82058.240000000005</v>
      </c>
    </row>
    <row r="25" spans="1:65" ht="34.5" customHeight="1">
      <c r="A25" s="10" t="s">
        <v>490</v>
      </c>
      <c r="B25" s="10" t="s">
        <v>491</v>
      </c>
      <c r="C25" s="66">
        <v>66</v>
      </c>
      <c r="D25" s="20" t="s">
        <v>494</v>
      </c>
      <c r="E25" s="41">
        <v>1282.1600000000001</v>
      </c>
      <c r="F25" s="21">
        <f t="shared" si="0"/>
        <v>128.21600000000001</v>
      </c>
      <c r="G25" s="21">
        <f t="shared" si="1"/>
        <v>24.361040000000003</v>
      </c>
      <c r="H25" s="21">
        <f t="shared" si="2"/>
        <v>1434.7370400000002</v>
      </c>
      <c r="J25" s="10">
        <f t="shared" si="3"/>
        <v>13</v>
      </c>
      <c r="K25" s="10"/>
      <c r="L25" s="10"/>
      <c r="M25" s="10"/>
      <c r="N25" s="242"/>
      <c r="O25" s="10"/>
      <c r="P25" s="10"/>
      <c r="Q25" s="10"/>
      <c r="R25" s="10"/>
      <c r="S25" s="10"/>
      <c r="T25" s="10"/>
      <c r="U25" s="10">
        <v>8</v>
      </c>
      <c r="V25" s="10"/>
      <c r="W25" s="10"/>
      <c r="X25" s="10"/>
      <c r="Y25" s="10"/>
      <c r="Z25" s="10"/>
      <c r="AA25" s="10"/>
      <c r="AB25" s="10"/>
      <c r="AC25" s="10"/>
      <c r="AD25" s="10"/>
      <c r="AE25" s="10">
        <v>2</v>
      </c>
      <c r="AF25" s="10"/>
      <c r="AG25" s="10"/>
      <c r="AH25" s="10"/>
      <c r="AI25" s="10">
        <v>3</v>
      </c>
      <c r="AK25" s="22">
        <f t="shared" si="30"/>
        <v>0</v>
      </c>
      <c r="AL25" s="22">
        <f t="shared" si="31"/>
        <v>0</v>
      </c>
      <c r="AM25" s="22">
        <f t="shared" si="32"/>
        <v>0</v>
      </c>
      <c r="AN25" s="22">
        <f t="shared" si="33"/>
        <v>0</v>
      </c>
      <c r="AO25" s="22">
        <f t="shared" si="34"/>
        <v>0</v>
      </c>
      <c r="AP25" s="22">
        <f t="shared" si="35"/>
        <v>0</v>
      </c>
      <c r="AQ25" s="22">
        <f t="shared" si="36"/>
        <v>0</v>
      </c>
      <c r="AR25" s="22">
        <f t="shared" si="37"/>
        <v>0</v>
      </c>
      <c r="AS25" s="22">
        <f t="shared" si="38"/>
        <v>0</v>
      </c>
      <c r="AT25" s="22">
        <f t="shared" si="39"/>
        <v>0</v>
      </c>
      <c r="AU25" s="22">
        <f t="shared" si="40"/>
        <v>11477.896320000002</v>
      </c>
      <c r="AV25" s="22">
        <f t="shared" si="41"/>
        <v>0</v>
      </c>
      <c r="AW25" s="22">
        <f t="shared" si="42"/>
        <v>0</v>
      </c>
      <c r="AX25" s="22">
        <f t="shared" si="43"/>
        <v>0</v>
      </c>
      <c r="AY25" s="22">
        <f t="shared" si="44"/>
        <v>0</v>
      </c>
      <c r="AZ25" s="22">
        <f t="shared" si="45"/>
        <v>0</v>
      </c>
      <c r="BA25" s="22">
        <f t="shared" si="46"/>
        <v>0</v>
      </c>
      <c r="BB25" s="22">
        <f t="shared" si="47"/>
        <v>0</v>
      </c>
      <c r="BC25" s="22">
        <f t="shared" si="48"/>
        <v>0</v>
      </c>
      <c r="BD25" s="22">
        <f t="shared" si="49"/>
        <v>0</v>
      </c>
      <c r="BE25" s="22">
        <f t="shared" si="50"/>
        <v>2869.4740800000004</v>
      </c>
      <c r="BF25" s="22">
        <f t="shared" si="51"/>
        <v>0</v>
      </c>
      <c r="BG25" s="22">
        <f t="shared" si="52"/>
        <v>0</v>
      </c>
      <c r="BH25" s="22">
        <f t="shared" si="53"/>
        <v>0</v>
      </c>
      <c r="BI25" s="22">
        <f t="shared" si="54"/>
        <v>4304.2111200000008</v>
      </c>
      <c r="BJ25" s="19" t="s">
        <v>490</v>
      </c>
      <c r="BK25" s="19" t="s">
        <v>491</v>
      </c>
      <c r="BL25" s="43">
        <f t="shared" si="55"/>
        <v>18651.581520000003</v>
      </c>
      <c r="BM25" s="39">
        <f t="shared" si="56"/>
        <v>16668.080000000002</v>
      </c>
    </row>
    <row r="26" spans="1:65" ht="22.5">
      <c r="A26" s="10" t="s">
        <v>490</v>
      </c>
      <c r="B26" s="24" t="s">
        <v>491</v>
      </c>
      <c r="C26" s="66">
        <v>67</v>
      </c>
      <c r="D26" s="20" t="s">
        <v>495</v>
      </c>
      <c r="E26" s="42">
        <v>1038.17</v>
      </c>
      <c r="F26" s="21">
        <f t="shared" si="0"/>
        <v>103.81700000000001</v>
      </c>
      <c r="G26" s="21">
        <f t="shared" si="1"/>
        <v>19.725230000000003</v>
      </c>
      <c r="H26" s="21">
        <f t="shared" si="2"/>
        <v>1161.7122300000001</v>
      </c>
      <c r="J26" s="10">
        <f t="shared" si="3"/>
        <v>14</v>
      </c>
      <c r="K26" s="10">
        <v>5</v>
      </c>
      <c r="L26" s="10"/>
      <c r="M26" s="10"/>
      <c r="N26" s="242"/>
      <c r="O26" s="10"/>
      <c r="P26" s="10"/>
      <c r="Q26" s="10"/>
      <c r="R26" s="10"/>
      <c r="S26" s="10"/>
      <c r="T26" s="10"/>
      <c r="U26" s="244">
        <v>8</v>
      </c>
      <c r="V26" s="10"/>
      <c r="W26" s="10"/>
      <c r="X26" s="10"/>
      <c r="Y26" s="10"/>
      <c r="Z26" s="10"/>
      <c r="AA26" s="10"/>
      <c r="AB26" s="10"/>
      <c r="AC26" s="10"/>
      <c r="AD26" s="10">
        <v>1</v>
      </c>
      <c r="AE26" s="10"/>
      <c r="AF26" s="10"/>
      <c r="AG26" s="10"/>
      <c r="AH26" s="10"/>
      <c r="AI26" s="10"/>
      <c r="AK26" s="22">
        <f t="shared" si="30"/>
        <v>5808.5611500000005</v>
      </c>
      <c r="AL26" s="22">
        <f t="shared" si="31"/>
        <v>0</v>
      </c>
      <c r="AM26" s="22">
        <f t="shared" si="32"/>
        <v>0</v>
      </c>
      <c r="AN26" s="22">
        <f t="shared" si="33"/>
        <v>0</v>
      </c>
      <c r="AO26" s="22">
        <f t="shared" si="34"/>
        <v>0</v>
      </c>
      <c r="AP26" s="22">
        <f t="shared" si="35"/>
        <v>0</v>
      </c>
      <c r="AQ26" s="22">
        <f t="shared" si="36"/>
        <v>0</v>
      </c>
      <c r="AR26" s="22">
        <f t="shared" si="37"/>
        <v>0</v>
      </c>
      <c r="AS26" s="22">
        <f t="shared" si="38"/>
        <v>0</v>
      </c>
      <c r="AT26" s="22">
        <f t="shared" si="39"/>
        <v>0</v>
      </c>
      <c r="AU26" s="22">
        <f t="shared" si="40"/>
        <v>9293.6978400000007</v>
      </c>
      <c r="AV26" s="22">
        <f t="shared" si="41"/>
        <v>0</v>
      </c>
      <c r="AW26" s="22">
        <f t="shared" si="42"/>
        <v>0</v>
      </c>
      <c r="AX26" s="22">
        <f t="shared" si="43"/>
        <v>0</v>
      </c>
      <c r="AY26" s="22">
        <f t="shared" si="44"/>
        <v>0</v>
      </c>
      <c r="AZ26" s="22">
        <f t="shared" si="45"/>
        <v>0</v>
      </c>
      <c r="BA26" s="22">
        <f t="shared" si="46"/>
        <v>0</v>
      </c>
      <c r="BB26" s="22">
        <f t="shared" si="47"/>
        <v>0</v>
      </c>
      <c r="BC26" s="22">
        <f t="shared" si="48"/>
        <v>0</v>
      </c>
      <c r="BD26" s="22">
        <f t="shared" si="49"/>
        <v>1161.7122300000001</v>
      </c>
      <c r="BE26" s="22">
        <f t="shared" si="50"/>
        <v>0</v>
      </c>
      <c r="BF26" s="22">
        <f t="shared" si="51"/>
        <v>0</v>
      </c>
      <c r="BG26" s="22">
        <f t="shared" si="52"/>
        <v>0</v>
      </c>
      <c r="BH26" s="22">
        <f t="shared" si="53"/>
        <v>0</v>
      </c>
      <c r="BI26" s="22">
        <f t="shared" si="54"/>
        <v>0</v>
      </c>
      <c r="BJ26" s="19" t="s">
        <v>490</v>
      </c>
      <c r="BK26" s="25" t="s">
        <v>491</v>
      </c>
      <c r="BL26" s="43">
        <f t="shared" si="55"/>
        <v>16263.971220000001</v>
      </c>
      <c r="BM26" s="39">
        <f t="shared" si="56"/>
        <v>14534.380000000001</v>
      </c>
    </row>
    <row r="27" spans="1:65" ht="22.5">
      <c r="A27" s="10" t="s">
        <v>490</v>
      </c>
      <c r="B27" s="24" t="s">
        <v>491</v>
      </c>
      <c r="C27" s="66">
        <v>68</v>
      </c>
      <c r="D27" s="20" t="s">
        <v>496</v>
      </c>
      <c r="E27" s="42">
        <v>1038.17</v>
      </c>
      <c r="F27" s="21">
        <f t="shared" si="0"/>
        <v>103.81700000000001</v>
      </c>
      <c r="G27" s="21">
        <f t="shared" si="1"/>
        <v>19.725230000000003</v>
      </c>
      <c r="H27" s="21">
        <f t="shared" si="2"/>
        <v>1161.7122300000001</v>
      </c>
      <c r="J27" s="10">
        <f t="shared" si="3"/>
        <v>2</v>
      </c>
      <c r="K27" s="10"/>
      <c r="L27" s="10"/>
      <c r="M27" s="10"/>
      <c r="N27" s="242"/>
      <c r="O27" s="10"/>
      <c r="P27" s="10"/>
      <c r="Q27" s="10"/>
      <c r="R27" s="10"/>
      <c r="S27" s="10"/>
      <c r="T27" s="10"/>
      <c r="U27" s="10">
        <v>2</v>
      </c>
      <c r="V27" s="10"/>
      <c r="W27" s="10"/>
      <c r="X27" s="10"/>
      <c r="Y27" s="10"/>
      <c r="Z27" s="10"/>
      <c r="AA27" s="10"/>
      <c r="AB27" s="10"/>
      <c r="AC27" s="10"/>
      <c r="AD27" s="10"/>
      <c r="AE27" s="10"/>
      <c r="AF27" s="10"/>
      <c r="AG27" s="10"/>
      <c r="AH27" s="10"/>
      <c r="AI27" s="10"/>
      <c r="AK27" s="22">
        <f t="shared" si="30"/>
        <v>0</v>
      </c>
      <c r="AL27" s="22">
        <f t="shared" si="31"/>
        <v>0</v>
      </c>
      <c r="AM27" s="22">
        <f t="shared" si="32"/>
        <v>0</v>
      </c>
      <c r="AN27" s="22">
        <f t="shared" si="33"/>
        <v>0</v>
      </c>
      <c r="AO27" s="22">
        <f t="shared" si="34"/>
        <v>0</v>
      </c>
      <c r="AP27" s="22">
        <f t="shared" si="35"/>
        <v>0</v>
      </c>
      <c r="AQ27" s="22">
        <f t="shared" si="36"/>
        <v>0</v>
      </c>
      <c r="AR27" s="22">
        <f t="shared" si="37"/>
        <v>0</v>
      </c>
      <c r="AS27" s="22">
        <f t="shared" si="38"/>
        <v>0</v>
      </c>
      <c r="AT27" s="22">
        <f t="shared" si="39"/>
        <v>0</v>
      </c>
      <c r="AU27" s="22">
        <f t="shared" si="40"/>
        <v>2323.4244600000002</v>
      </c>
      <c r="AV27" s="22">
        <f t="shared" si="41"/>
        <v>0</v>
      </c>
      <c r="AW27" s="22">
        <f t="shared" si="42"/>
        <v>0</v>
      </c>
      <c r="AX27" s="22">
        <f t="shared" si="43"/>
        <v>0</v>
      </c>
      <c r="AY27" s="22">
        <f t="shared" si="44"/>
        <v>0</v>
      </c>
      <c r="AZ27" s="22">
        <f t="shared" si="45"/>
        <v>0</v>
      </c>
      <c r="BA27" s="22">
        <f t="shared" si="46"/>
        <v>0</v>
      </c>
      <c r="BB27" s="22">
        <f t="shared" si="47"/>
        <v>0</v>
      </c>
      <c r="BC27" s="22">
        <f t="shared" si="48"/>
        <v>0</v>
      </c>
      <c r="BD27" s="22">
        <f t="shared" si="49"/>
        <v>0</v>
      </c>
      <c r="BE27" s="22">
        <f t="shared" si="50"/>
        <v>0</v>
      </c>
      <c r="BF27" s="22">
        <f t="shared" si="51"/>
        <v>0</v>
      </c>
      <c r="BG27" s="22">
        <f t="shared" si="52"/>
        <v>0</v>
      </c>
      <c r="BH27" s="22">
        <f t="shared" si="53"/>
        <v>0</v>
      </c>
      <c r="BI27" s="22">
        <f t="shared" si="54"/>
        <v>0</v>
      </c>
      <c r="BJ27" s="19" t="s">
        <v>490</v>
      </c>
      <c r="BK27" s="25" t="s">
        <v>491</v>
      </c>
      <c r="BL27" s="43">
        <f t="shared" si="55"/>
        <v>2323.4244600000002</v>
      </c>
      <c r="BM27" s="39">
        <f t="shared" si="56"/>
        <v>2076.34</v>
      </c>
    </row>
    <row r="28" spans="1:65" ht="22.5">
      <c r="A28" s="10" t="s">
        <v>490</v>
      </c>
      <c r="B28" s="24" t="s">
        <v>491</v>
      </c>
      <c r="C28" s="66">
        <v>69</v>
      </c>
      <c r="D28" s="20" t="s">
        <v>497</v>
      </c>
      <c r="E28" s="42">
        <v>1202.02</v>
      </c>
      <c r="F28" s="21">
        <f t="shared" si="0"/>
        <v>120.202</v>
      </c>
      <c r="G28" s="21">
        <f t="shared" si="1"/>
        <v>22.838380000000001</v>
      </c>
      <c r="H28" s="21">
        <f t="shared" si="2"/>
        <v>1345.0603799999999</v>
      </c>
      <c r="J28" s="10">
        <f t="shared" si="3"/>
        <v>90</v>
      </c>
      <c r="K28" s="10">
        <v>30</v>
      </c>
      <c r="L28" s="242">
        <v>8</v>
      </c>
      <c r="M28" s="10"/>
      <c r="N28" s="242"/>
      <c r="O28" s="10">
        <v>12</v>
      </c>
      <c r="P28" s="10"/>
      <c r="Q28" s="10">
        <v>8</v>
      </c>
      <c r="R28" s="10"/>
      <c r="S28" s="10">
        <v>4</v>
      </c>
      <c r="T28" s="10"/>
      <c r="U28" s="10">
        <v>8</v>
      </c>
      <c r="V28" s="10"/>
      <c r="W28" s="10"/>
      <c r="X28" s="10"/>
      <c r="Y28" s="10">
        <v>4</v>
      </c>
      <c r="Z28" s="10"/>
      <c r="AA28" s="10">
        <v>4</v>
      </c>
      <c r="AB28" s="10">
        <v>8</v>
      </c>
      <c r="AC28" s="10"/>
      <c r="AD28" s="10"/>
      <c r="AE28" s="10">
        <v>3</v>
      </c>
      <c r="AF28" s="10"/>
      <c r="AG28" s="10">
        <v>1</v>
      </c>
      <c r="AH28" s="10"/>
      <c r="AI28" s="10"/>
      <c r="AK28" s="22">
        <f t="shared" si="30"/>
        <v>40351.811399999999</v>
      </c>
      <c r="AL28" s="22">
        <f t="shared" si="31"/>
        <v>10760.483039999999</v>
      </c>
      <c r="AM28" s="22">
        <f t="shared" si="32"/>
        <v>0</v>
      </c>
      <c r="AN28" s="22">
        <f t="shared" si="33"/>
        <v>0</v>
      </c>
      <c r="AO28" s="22">
        <f t="shared" si="34"/>
        <v>16140.724559999999</v>
      </c>
      <c r="AP28" s="22">
        <f t="shared" si="35"/>
        <v>0</v>
      </c>
      <c r="AQ28" s="22">
        <f t="shared" si="36"/>
        <v>10760.483039999999</v>
      </c>
      <c r="AR28" s="22">
        <f t="shared" si="37"/>
        <v>0</v>
      </c>
      <c r="AS28" s="22">
        <f t="shared" si="38"/>
        <v>5380.2415199999996</v>
      </c>
      <c r="AT28" s="22">
        <f t="shared" si="39"/>
        <v>0</v>
      </c>
      <c r="AU28" s="22">
        <f t="shared" si="40"/>
        <v>10760.483039999999</v>
      </c>
      <c r="AV28" s="22">
        <f t="shared" si="41"/>
        <v>0</v>
      </c>
      <c r="AW28" s="22">
        <f t="shared" si="42"/>
        <v>0</v>
      </c>
      <c r="AX28" s="22">
        <f t="shared" si="43"/>
        <v>0</v>
      </c>
      <c r="AY28" s="22">
        <f t="shared" si="44"/>
        <v>5380.2415199999996</v>
      </c>
      <c r="AZ28" s="22">
        <f t="shared" si="45"/>
        <v>0</v>
      </c>
      <c r="BA28" s="22">
        <f t="shared" si="46"/>
        <v>5380.2415199999996</v>
      </c>
      <c r="BB28" s="22">
        <f t="shared" si="47"/>
        <v>10760.483039999999</v>
      </c>
      <c r="BC28" s="22">
        <f t="shared" si="48"/>
        <v>0</v>
      </c>
      <c r="BD28" s="22">
        <f t="shared" si="49"/>
        <v>0</v>
      </c>
      <c r="BE28" s="22">
        <f t="shared" si="50"/>
        <v>4035.1811399999997</v>
      </c>
      <c r="BF28" s="22">
        <f t="shared" si="51"/>
        <v>0</v>
      </c>
      <c r="BG28" s="22">
        <f t="shared" si="52"/>
        <v>1345.0603799999999</v>
      </c>
      <c r="BH28" s="22">
        <f t="shared" si="53"/>
        <v>0</v>
      </c>
      <c r="BI28" s="22">
        <f t="shared" si="54"/>
        <v>0</v>
      </c>
      <c r="BJ28" s="19" t="s">
        <v>490</v>
      </c>
      <c r="BK28" s="25" t="s">
        <v>491</v>
      </c>
      <c r="BL28" s="43">
        <f t="shared" si="55"/>
        <v>121055.43419999999</v>
      </c>
      <c r="BM28" s="39">
        <f t="shared" si="56"/>
        <v>108181.8</v>
      </c>
    </row>
    <row r="29" spans="1:65" ht="34.5" customHeight="1">
      <c r="A29" s="10" t="s">
        <v>490</v>
      </c>
      <c r="B29" s="24" t="s">
        <v>491</v>
      </c>
      <c r="C29" s="66">
        <v>70</v>
      </c>
      <c r="D29" s="20" t="s">
        <v>498</v>
      </c>
      <c r="E29" s="42">
        <v>1282.1600000000001</v>
      </c>
      <c r="F29" s="21">
        <f t="shared" si="0"/>
        <v>128.21600000000001</v>
      </c>
      <c r="G29" s="21">
        <f t="shared" si="1"/>
        <v>24.361040000000003</v>
      </c>
      <c r="H29" s="21">
        <f t="shared" si="2"/>
        <v>1434.7370400000002</v>
      </c>
      <c r="J29" s="10">
        <f t="shared" si="3"/>
        <v>76</v>
      </c>
      <c r="K29" s="10">
        <v>20</v>
      </c>
      <c r="L29" s="242">
        <v>8</v>
      </c>
      <c r="M29" s="10"/>
      <c r="N29" s="242"/>
      <c r="O29" s="10">
        <v>16</v>
      </c>
      <c r="P29" s="10"/>
      <c r="Q29" s="10">
        <v>8</v>
      </c>
      <c r="R29" s="10"/>
      <c r="S29" s="10">
        <v>4</v>
      </c>
      <c r="T29" s="10"/>
      <c r="U29" s="10">
        <v>8</v>
      </c>
      <c r="V29" s="10"/>
      <c r="W29" s="10"/>
      <c r="X29" s="10"/>
      <c r="Y29" s="10">
        <v>4</v>
      </c>
      <c r="Z29" s="10"/>
      <c r="AA29" s="10">
        <v>4</v>
      </c>
      <c r="AB29" s="10"/>
      <c r="AC29" s="10"/>
      <c r="AD29" s="10"/>
      <c r="AE29" s="10">
        <v>3</v>
      </c>
      <c r="AF29" s="10"/>
      <c r="AG29" s="10">
        <v>1</v>
      </c>
      <c r="AH29" s="10"/>
      <c r="AI29" s="10"/>
      <c r="AK29" s="22">
        <f t="shared" si="30"/>
        <v>28694.740800000003</v>
      </c>
      <c r="AL29" s="22">
        <f t="shared" si="31"/>
        <v>11477.896320000002</v>
      </c>
      <c r="AM29" s="22">
        <f t="shared" si="32"/>
        <v>0</v>
      </c>
      <c r="AN29" s="22">
        <f t="shared" si="33"/>
        <v>0</v>
      </c>
      <c r="AO29" s="22">
        <f t="shared" si="34"/>
        <v>22955.792640000003</v>
      </c>
      <c r="AP29" s="22">
        <f t="shared" si="35"/>
        <v>0</v>
      </c>
      <c r="AQ29" s="22">
        <f t="shared" si="36"/>
        <v>11477.896320000002</v>
      </c>
      <c r="AR29" s="22">
        <f t="shared" si="37"/>
        <v>0</v>
      </c>
      <c r="AS29" s="22">
        <f t="shared" si="38"/>
        <v>5738.9481600000008</v>
      </c>
      <c r="AT29" s="22">
        <f t="shared" si="39"/>
        <v>0</v>
      </c>
      <c r="AU29" s="22">
        <f t="shared" si="40"/>
        <v>11477.896320000002</v>
      </c>
      <c r="AV29" s="22">
        <f t="shared" si="41"/>
        <v>0</v>
      </c>
      <c r="AW29" s="22">
        <f t="shared" si="42"/>
        <v>0</v>
      </c>
      <c r="AX29" s="22">
        <f t="shared" si="43"/>
        <v>0</v>
      </c>
      <c r="AY29" s="22">
        <f t="shared" si="44"/>
        <v>5738.9481600000008</v>
      </c>
      <c r="AZ29" s="22">
        <f t="shared" si="45"/>
        <v>0</v>
      </c>
      <c r="BA29" s="22">
        <f t="shared" si="46"/>
        <v>5738.9481600000008</v>
      </c>
      <c r="BB29" s="22">
        <f t="shared" si="47"/>
        <v>0</v>
      </c>
      <c r="BC29" s="22">
        <f t="shared" si="48"/>
        <v>0</v>
      </c>
      <c r="BD29" s="22">
        <f t="shared" si="49"/>
        <v>0</v>
      </c>
      <c r="BE29" s="22">
        <f t="shared" si="50"/>
        <v>4304.2111200000008</v>
      </c>
      <c r="BF29" s="22">
        <f t="shared" si="51"/>
        <v>0</v>
      </c>
      <c r="BG29" s="22">
        <f t="shared" si="52"/>
        <v>1434.7370400000002</v>
      </c>
      <c r="BH29" s="22">
        <f t="shared" si="53"/>
        <v>0</v>
      </c>
      <c r="BI29" s="22">
        <f t="shared" si="54"/>
        <v>0</v>
      </c>
      <c r="BJ29" s="19" t="s">
        <v>490</v>
      </c>
      <c r="BK29" s="25" t="s">
        <v>491</v>
      </c>
      <c r="BL29" s="43">
        <f t="shared" si="55"/>
        <v>109040.01504000001</v>
      </c>
      <c r="BM29" s="39">
        <f t="shared" si="56"/>
        <v>97444.160000000003</v>
      </c>
    </row>
    <row r="30" spans="1:65" ht="34.5" customHeight="1">
      <c r="A30" s="10" t="s">
        <v>499</v>
      </c>
      <c r="B30" s="19" t="s">
        <v>500</v>
      </c>
      <c r="C30" s="66">
        <v>72</v>
      </c>
      <c r="D30" s="20" t="s">
        <v>501</v>
      </c>
      <c r="E30" s="42">
        <v>1123.44</v>
      </c>
      <c r="F30" s="21">
        <f t="shared" si="0"/>
        <v>112.34400000000001</v>
      </c>
      <c r="G30" s="21">
        <f t="shared" si="1"/>
        <v>21.345360000000003</v>
      </c>
      <c r="H30" s="21">
        <f t="shared" si="2"/>
        <v>1257.1293600000001</v>
      </c>
      <c r="J30" s="10">
        <f t="shared" si="3"/>
        <v>132</v>
      </c>
      <c r="K30" s="10">
        <v>20</v>
      </c>
      <c r="L30" s="242">
        <v>8</v>
      </c>
      <c r="M30" s="10">
        <v>8</v>
      </c>
      <c r="N30" s="242"/>
      <c r="O30" s="10">
        <v>8</v>
      </c>
      <c r="P30" s="10"/>
      <c r="Q30" s="10">
        <v>10</v>
      </c>
      <c r="R30" s="10"/>
      <c r="S30" s="10">
        <v>8</v>
      </c>
      <c r="T30" s="10"/>
      <c r="U30" s="242">
        <v>2</v>
      </c>
      <c r="V30" s="242">
        <v>10</v>
      </c>
      <c r="W30" s="10"/>
      <c r="X30" s="10"/>
      <c r="Y30" s="10"/>
      <c r="Z30" s="10">
        <v>15</v>
      </c>
      <c r="AA30" s="10">
        <v>4</v>
      </c>
      <c r="AB30" s="10">
        <v>8</v>
      </c>
      <c r="AC30" s="10">
        <v>10</v>
      </c>
      <c r="AD30" s="10"/>
      <c r="AE30" s="10">
        <v>3</v>
      </c>
      <c r="AF30" s="10">
        <v>10</v>
      </c>
      <c r="AG30" s="10">
        <v>5</v>
      </c>
      <c r="AH30" s="10"/>
      <c r="AI30" s="10">
        <v>3</v>
      </c>
      <c r="AK30" s="22">
        <f t="shared" si="30"/>
        <v>25142.587200000002</v>
      </c>
      <c r="AL30" s="22">
        <f t="shared" si="31"/>
        <v>10057.034880000001</v>
      </c>
      <c r="AM30" s="22">
        <f t="shared" si="32"/>
        <v>10057.034880000001</v>
      </c>
      <c r="AN30" s="22">
        <f t="shared" si="33"/>
        <v>0</v>
      </c>
      <c r="AO30" s="22">
        <f t="shared" si="34"/>
        <v>10057.034880000001</v>
      </c>
      <c r="AP30" s="22">
        <f t="shared" si="35"/>
        <v>0</v>
      </c>
      <c r="AQ30" s="22">
        <f t="shared" si="36"/>
        <v>12571.293600000001</v>
      </c>
      <c r="AR30" s="22">
        <f t="shared" si="37"/>
        <v>0</v>
      </c>
      <c r="AS30" s="22">
        <f t="shared" si="38"/>
        <v>10057.034880000001</v>
      </c>
      <c r="AT30" s="22">
        <f t="shared" si="39"/>
        <v>0</v>
      </c>
      <c r="AU30" s="22">
        <f t="shared" si="40"/>
        <v>2514.2587200000003</v>
      </c>
      <c r="AV30" s="22">
        <f t="shared" si="41"/>
        <v>12571.293600000001</v>
      </c>
      <c r="AW30" s="22">
        <f t="shared" si="42"/>
        <v>0</v>
      </c>
      <c r="AX30" s="22">
        <f t="shared" si="43"/>
        <v>0</v>
      </c>
      <c r="AY30" s="22">
        <f t="shared" si="44"/>
        <v>0</v>
      </c>
      <c r="AZ30" s="22">
        <f t="shared" si="45"/>
        <v>18856.940400000003</v>
      </c>
      <c r="BA30" s="22">
        <f t="shared" si="46"/>
        <v>5028.5174400000005</v>
      </c>
      <c r="BB30" s="22">
        <f t="shared" si="47"/>
        <v>10057.034880000001</v>
      </c>
      <c r="BC30" s="22">
        <f t="shared" si="48"/>
        <v>12571.293600000001</v>
      </c>
      <c r="BD30" s="22">
        <f t="shared" si="49"/>
        <v>0</v>
      </c>
      <c r="BE30" s="22">
        <f t="shared" si="50"/>
        <v>3771.3880800000006</v>
      </c>
      <c r="BF30" s="22">
        <f t="shared" si="51"/>
        <v>12571.293600000001</v>
      </c>
      <c r="BG30" s="22">
        <f t="shared" si="52"/>
        <v>6285.6468000000004</v>
      </c>
      <c r="BH30" s="22">
        <f t="shared" si="53"/>
        <v>0</v>
      </c>
      <c r="BI30" s="22">
        <f t="shared" si="54"/>
        <v>3771.3880800000006</v>
      </c>
      <c r="BJ30" s="19" t="s">
        <v>499</v>
      </c>
      <c r="BK30" s="19" t="s">
        <v>500</v>
      </c>
      <c r="BL30" s="43">
        <f t="shared" si="55"/>
        <v>165941.07552000001</v>
      </c>
      <c r="BM30" s="39">
        <f t="shared" si="56"/>
        <v>148294.08000000002</v>
      </c>
    </row>
    <row r="31" spans="1:65" ht="34.5" customHeight="1">
      <c r="A31" s="10" t="s">
        <v>499</v>
      </c>
      <c r="B31" s="19" t="s">
        <v>500</v>
      </c>
      <c r="C31" s="66">
        <v>73</v>
      </c>
      <c r="D31" s="20" t="s">
        <v>502</v>
      </c>
      <c r="E31" s="42">
        <v>1026.56</v>
      </c>
      <c r="F31" s="21">
        <f t="shared" si="0"/>
        <v>102.65600000000001</v>
      </c>
      <c r="G31" s="21">
        <f t="shared" si="1"/>
        <v>19.504640000000002</v>
      </c>
      <c r="H31" s="21">
        <f t="shared" si="2"/>
        <v>1148.72064</v>
      </c>
      <c r="J31" s="10">
        <f t="shared" si="3"/>
        <v>43</v>
      </c>
      <c r="K31" s="10">
        <v>15</v>
      </c>
      <c r="L31" s="10"/>
      <c r="M31" s="10"/>
      <c r="N31" s="242"/>
      <c r="O31" s="10"/>
      <c r="P31" s="10"/>
      <c r="Q31" s="10"/>
      <c r="R31" s="10"/>
      <c r="S31" s="10"/>
      <c r="T31" s="10"/>
      <c r="U31" s="10">
        <v>8</v>
      </c>
      <c r="V31" s="10">
        <v>10</v>
      </c>
      <c r="W31" s="10"/>
      <c r="X31" s="10"/>
      <c r="Y31" s="10"/>
      <c r="Z31" s="10"/>
      <c r="AA31" s="10"/>
      <c r="AB31" s="10"/>
      <c r="AC31" s="10"/>
      <c r="AD31" s="10"/>
      <c r="AE31" s="10">
        <v>3</v>
      </c>
      <c r="AF31" s="10">
        <v>2</v>
      </c>
      <c r="AG31" s="10"/>
      <c r="AH31" s="10">
        <v>2</v>
      </c>
      <c r="AI31" s="10">
        <v>3</v>
      </c>
      <c r="AK31" s="22">
        <f t="shared" si="30"/>
        <v>17230.809600000001</v>
      </c>
      <c r="AL31" s="22">
        <f t="shared" si="31"/>
        <v>0</v>
      </c>
      <c r="AM31" s="22">
        <f t="shared" si="32"/>
        <v>0</v>
      </c>
      <c r="AN31" s="22">
        <f t="shared" si="33"/>
        <v>0</v>
      </c>
      <c r="AO31" s="22">
        <f t="shared" si="34"/>
        <v>0</v>
      </c>
      <c r="AP31" s="22">
        <f t="shared" si="35"/>
        <v>0</v>
      </c>
      <c r="AQ31" s="22">
        <f t="shared" si="36"/>
        <v>0</v>
      </c>
      <c r="AR31" s="22">
        <f t="shared" si="37"/>
        <v>0</v>
      </c>
      <c r="AS31" s="22">
        <f t="shared" si="38"/>
        <v>0</v>
      </c>
      <c r="AT31" s="22">
        <f t="shared" si="39"/>
        <v>0</v>
      </c>
      <c r="AU31" s="22">
        <f t="shared" si="40"/>
        <v>9189.76512</v>
      </c>
      <c r="AV31" s="22">
        <f t="shared" si="41"/>
        <v>11487.206399999999</v>
      </c>
      <c r="AW31" s="22">
        <f t="shared" si="42"/>
        <v>0</v>
      </c>
      <c r="AX31" s="22">
        <f t="shared" si="43"/>
        <v>0</v>
      </c>
      <c r="AY31" s="22">
        <f t="shared" si="44"/>
        <v>0</v>
      </c>
      <c r="AZ31" s="22">
        <f t="shared" si="45"/>
        <v>0</v>
      </c>
      <c r="BA31" s="22">
        <f t="shared" si="46"/>
        <v>0</v>
      </c>
      <c r="BB31" s="22">
        <f t="shared" si="47"/>
        <v>0</v>
      </c>
      <c r="BC31" s="22">
        <f t="shared" si="48"/>
        <v>0</v>
      </c>
      <c r="BD31" s="22">
        <f t="shared" si="49"/>
        <v>0</v>
      </c>
      <c r="BE31" s="22">
        <f t="shared" si="50"/>
        <v>3446.16192</v>
      </c>
      <c r="BF31" s="22">
        <f t="shared" si="51"/>
        <v>2297.44128</v>
      </c>
      <c r="BG31" s="22">
        <f t="shared" si="52"/>
        <v>0</v>
      </c>
      <c r="BH31" s="22">
        <f t="shared" si="53"/>
        <v>2297.44128</v>
      </c>
      <c r="BI31" s="22">
        <f t="shared" si="54"/>
        <v>3446.16192</v>
      </c>
      <c r="BJ31" s="19" t="s">
        <v>499</v>
      </c>
      <c r="BK31" s="19" t="s">
        <v>500</v>
      </c>
      <c r="BL31" s="43">
        <f t="shared" si="55"/>
        <v>49394.987520000002</v>
      </c>
      <c r="BM31" s="39">
        <f t="shared" si="56"/>
        <v>44142.079999999994</v>
      </c>
    </row>
    <row r="32" spans="1:65" ht="34.5" customHeight="1">
      <c r="A32" s="10" t="s">
        <v>503</v>
      </c>
      <c r="B32" s="23" t="s">
        <v>504</v>
      </c>
      <c r="C32" s="66">
        <v>75</v>
      </c>
      <c r="D32" s="20" t="s">
        <v>505</v>
      </c>
      <c r="E32" s="42">
        <v>538.59</v>
      </c>
      <c r="F32" s="21">
        <f t="shared" si="0"/>
        <v>53.859000000000009</v>
      </c>
      <c r="G32" s="21">
        <f t="shared" si="1"/>
        <v>10.233210000000001</v>
      </c>
      <c r="H32" s="21">
        <f t="shared" si="2"/>
        <v>602.68221000000005</v>
      </c>
      <c r="J32" s="10">
        <f t="shared" si="3"/>
        <v>104</v>
      </c>
      <c r="K32" s="10">
        <v>20</v>
      </c>
      <c r="L32" s="242">
        <v>8</v>
      </c>
      <c r="M32" s="10">
        <v>8</v>
      </c>
      <c r="N32" s="242"/>
      <c r="O32" s="10">
        <v>6</v>
      </c>
      <c r="P32" s="10"/>
      <c r="Q32" s="10">
        <v>8</v>
      </c>
      <c r="R32" s="10"/>
      <c r="S32" s="10">
        <v>8</v>
      </c>
      <c r="T32" s="10"/>
      <c r="U32" s="10"/>
      <c r="V32" s="10">
        <v>10</v>
      </c>
      <c r="W32" s="10">
        <v>4</v>
      </c>
      <c r="X32" s="10"/>
      <c r="Y32" s="10">
        <v>4</v>
      </c>
      <c r="Z32" s="10">
        <v>8</v>
      </c>
      <c r="AA32" s="10">
        <v>4</v>
      </c>
      <c r="AB32" s="10">
        <v>4</v>
      </c>
      <c r="AC32" s="10"/>
      <c r="AD32" s="10"/>
      <c r="AE32" s="10">
        <v>2</v>
      </c>
      <c r="AF32" s="10">
        <v>5</v>
      </c>
      <c r="AG32" s="10">
        <v>5</v>
      </c>
      <c r="AH32" s="10"/>
      <c r="AI32" s="10"/>
      <c r="AK32" s="22">
        <f t="shared" si="30"/>
        <v>12053.644200000001</v>
      </c>
      <c r="AL32" s="22">
        <f t="shared" si="31"/>
        <v>4821.4576800000004</v>
      </c>
      <c r="AM32" s="22">
        <f t="shared" si="32"/>
        <v>4821.4576800000004</v>
      </c>
      <c r="AN32" s="22">
        <f t="shared" si="33"/>
        <v>0</v>
      </c>
      <c r="AO32" s="22">
        <f t="shared" si="34"/>
        <v>3616.0932600000006</v>
      </c>
      <c r="AP32" s="22">
        <f t="shared" si="35"/>
        <v>0</v>
      </c>
      <c r="AQ32" s="22">
        <f t="shared" si="36"/>
        <v>4821.4576800000004</v>
      </c>
      <c r="AR32" s="22">
        <f t="shared" si="37"/>
        <v>0</v>
      </c>
      <c r="AS32" s="22">
        <f t="shared" si="38"/>
        <v>4821.4576800000004</v>
      </c>
      <c r="AT32" s="22">
        <f t="shared" si="39"/>
        <v>0</v>
      </c>
      <c r="AU32" s="22">
        <f t="shared" si="40"/>
        <v>0</v>
      </c>
      <c r="AV32" s="22">
        <f t="shared" si="41"/>
        <v>6026.8221000000003</v>
      </c>
      <c r="AW32" s="22">
        <f t="shared" si="42"/>
        <v>2410.7288400000002</v>
      </c>
      <c r="AX32" s="22">
        <f t="shared" si="43"/>
        <v>0</v>
      </c>
      <c r="AY32" s="22">
        <f t="shared" si="44"/>
        <v>2410.7288400000002</v>
      </c>
      <c r="AZ32" s="22">
        <f t="shared" si="45"/>
        <v>4821.4576800000004</v>
      </c>
      <c r="BA32" s="22">
        <f t="shared" si="46"/>
        <v>2410.7288400000002</v>
      </c>
      <c r="BB32" s="22">
        <f t="shared" si="47"/>
        <v>2410.7288400000002</v>
      </c>
      <c r="BC32" s="22">
        <f t="shared" si="48"/>
        <v>0</v>
      </c>
      <c r="BD32" s="22">
        <f t="shared" si="49"/>
        <v>0</v>
      </c>
      <c r="BE32" s="22">
        <f t="shared" si="50"/>
        <v>1205.3644200000001</v>
      </c>
      <c r="BF32" s="22">
        <f t="shared" si="51"/>
        <v>3013.4110500000002</v>
      </c>
      <c r="BG32" s="22">
        <f t="shared" si="52"/>
        <v>3013.4110500000002</v>
      </c>
      <c r="BH32" s="22">
        <f t="shared" si="53"/>
        <v>0</v>
      </c>
      <c r="BI32" s="22">
        <f t="shared" si="54"/>
        <v>0</v>
      </c>
      <c r="BJ32" s="19" t="s">
        <v>503</v>
      </c>
      <c r="BK32" s="23" t="s">
        <v>504</v>
      </c>
      <c r="BL32" s="43">
        <f t="shared" si="55"/>
        <v>62678.949840000008</v>
      </c>
      <c r="BM32" s="39">
        <f t="shared" si="56"/>
        <v>56013.36</v>
      </c>
    </row>
    <row r="33" spans="1:65" ht="34.5" customHeight="1">
      <c r="A33" s="10" t="s">
        <v>503</v>
      </c>
      <c r="B33" s="23" t="s">
        <v>504</v>
      </c>
      <c r="C33" s="66">
        <v>76</v>
      </c>
      <c r="D33" s="20" t="s">
        <v>506</v>
      </c>
      <c r="E33" s="42">
        <v>225.73</v>
      </c>
      <c r="F33" s="21">
        <f t="shared" si="0"/>
        <v>22.573</v>
      </c>
      <c r="G33" s="21">
        <f t="shared" si="1"/>
        <v>4.2888700000000002</v>
      </c>
      <c r="H33" s="21">
        <f t="shared" si="2"/>
        <v>252.59187</v>
      </c>
      <c r="J33" s="10">
        <f t="shared" si="3"/>
        <v>71</v>
      </c>
      <c r="K33" s="10">
        <v>30</v>
      </c>
      <c r="L33" s="242">
        <v>2</v>
      </c>
      <c r="M33" s="10">
        <v>2</v>
      </c>
      <c r="N33" s="242"/>
      <c r="O33" s="10">
        <v>2</v>
      </c>
      <c r="P33" s="10"/>
      <c r="Q33" s="10"/>
      <c r="R33" s="10"/>
      <c r="S33" s="10">
        <v>2</v>
      </c>
      <c r="T33" s="10"/>
      <c r="U33" s="10">
        <v>5</v>
      </c>
      <c r="V33" s="10"/>
      <c r="W33" s="10">
        <v>2</v>
      </c>
      <c r="X33" s="10"/>
      <c r="Y33" s="10">
        <v>2</v>
      </c>
      <c r="Z33" s="10"/>
      <c r="AA33" s="10">
        <v>2</v>
      </c>
      <c r="AB33" s="10"/>
      <c r="AC33" s="10"/>
      <c r="AD33" s="10"/>
      <c r="AE33" s="10">
        <v>3</v>
      </c>
      <c r="AF33" s="10">
        <v>5</v>
      </c>
      <c r="AG33" s="10">
        <v>10</v>
      </c>
      <c r="AH33" s="10"/>
      <c r="AI33" s="10">
        <v>4</v>
      </c>
      <c r="AK33" s="22">
        <f t="shared" si="30"/>
        <v>7577.7560999999996</v>
      </c>
      <c r="AL33" s="22">
        <f t="shared" si="31"/>
        <v>505.18374</v>
      </c>
      <c r="AM33" s="22">
        <f t="shared" si="32"/>
        <v>505.18374</v>
      </c>
      <c r="AN33" s="22">
        <f t="shared" si="33"/>
        <v>0</v>
      </c>
      <c r="AO33" s="22">
        <f t="shared" si="34"/>
        <v>505.18374</v>
      </c>
      <c r="AP33" s="22">
        <f t="shared" si="35"/>
        <v>0</v>
      </c>
      <c r="AQ33" s="22">
        <f t="shared" si="36"/>
        <v>0</v>
      </c>
      <c r="AR33" s="22">
        <f t="shared" si="37"/>
        <v>0</v>
      </c>
      <c r="AS33" s="22">
        <f t="shared" si="38"/>
        <v>505.18374</v>
      </c>
      <c r="AT33" s="22">
        <f t="shared" si="39"/>
        <v>0</v>
      </c>
      <c r="AU33" s="22">
        <f t="shared" si="40"/>
        <v>1262.9593500000001</v>
      </c>
      <c r="AV33" s="22">
        <f t="shared" si="41"/>
        <v>0</v>
      </c>
      <c r="AW33" s="22">
        <f t="shared" si="42"/>
        <v>505.18374</v>
      </c>
      <c r="AX33" s="22">
        <f t="shared" si="43"/>
        <v>0</v>
      </c>
      <c r="AY33" s="22">
        <f t="shared" si="44"/>
        <v>505.18374</v>
      </c>
      <c r="AZ33" s="22">
        <f t="shared" si="45"/>
        <v>0</v>
      </c>
      <c r="BA33" s="22">
        <f t="shared" si="46"/>
        <v>505.18374</v>
      </c>
      <c r="BB33" s="22">
        <f t="shared" si="47"/>
        <v>0</v>
      </c>
      <c r="BC33" s="22">
        <f t="shared" si="48"/>
        <v>0</v>
      </c>
      <c r="BD33" s="22">
        <f t="shared" si="49"/>
        <v>0</v>
      </c>
      <c r="BE33" s="22">
        <f t="shared" si="50"/>
        <v>757.77561000000003</v>
      </c>
      <c r="BF33" s="22">
        <f t="shared" si="51"/>
        <v>1262.9593500000001</v>
      </c>
      <c r="BG33" s="22">
        <f t="shared" si="52"/>
        <v>2525.9187000000002</v>
      </c>
      <c r="BH33" s="22">
        <f t="shared" si="53"/>
        <v>0</v>
      </c>
      <c r="BI33" s="22">
        <f t="shared" si="54"/>
        <v>1010.36748</v>
      </c>
      <c r="BJ33" s="19" t="s">
        <v>503</v>
      </c>
      <c r="BK33" s="23" t="s">
        <v>504</v>
      </c>
      <c r="BL33" s="43">
        <f t="shared" si="55"/>
        <v>17934.02277</v>
      </c>
      <c r="BM33" s="39">
        <f t="shared" si="56"/>
        <v>16026.83</v>
      </c>
    </row>
    <row r="34" spans="1:65" ht="33.75">
      <c r="A34" s="10" t="s">
        <v>503</v>
      </c>
      <c r="B34" s="23" t="s">
        <v>504</v>
      </c>
      <c r="C34" s="66">
        <v>77</v>
      </c>
      <c r="D34" s="20" t="s">
        <v>507</v>
      </c>
      <c r="E34" s="42">
        <v>225.73</v>
      </c>
      <c r="F34" s="21">
        <f t="shared" ref="F34:F67" si="57">+E34*10%</f>
        <v>22.573</v>
      </c>
      <c r="G34" s="21">
        <f t="shared" ref="G34:G67" si="58">+F34*19%</f>
        <v>4.2888700000000002</v>
      </c>
      <c r="H34" s="21">
        <f t="shared" ref="H34:H67" si="59">+E34+F34+G34</f>
        <v>252.59187</v>
      </c>
      <c r="J34" s="10">
        <f t="shared" si="3"/>
        <v>79</v>
      </c>
      <c r="K34" s="10">
        <v>30</v>
      </c>
      <c r="L34" s="10"/>
      <c r="M34" s="10">
        <v>2</v>
      </c>
      <c r="N34" s="242"/>
      <c r="O34" s="10"/>
      <c r="P34" s="10"/>
      <c r="Q34" s="10">
        <v>8</v>
      </c>
      <c r="R34" s="10"/>
      <c r="S34" s="10">
        <v>8</v>
      </c>
      <c r="T34" s="10"/>
      <c r="U34" s="10">
        <v>3</v>
      </c>
      <c r="V34" s="10"/>
      <c r="W34" s="10">
        <v>4</v>
      </c>
      <c r="X34" s="10"/>
      <c r="Y34" s="10">
        <v>4</v>
      </c>
      <c r="Z34" s="10"/>
      <c r="AA34" s="10">
        <v>4</v>
      </c>
      <c r="AB34" s="10"/>
      <c r="AC34" s="10"/>
      <c r="AD34" s="10"/>
      <c r="AE34" s="10">
        <v>1</v>
      </c>
      <c r="AF34" s="10">
        <v>5</v>
      </c>
      <c r="AG34" s="10">
        <v>10</v>
      </c>
      <c r="AH34" s="10"/>
      <c r="AI34" s="10"/>
      <c r="AK34" s="22">
        <f t="shared" si="30"/>
        <v>7577.7560999999996</v>
      </c>
      <c r="AL34" s="22">
        <f t="shared" si="31"/>
        <v>0</v>
      </c>
      <c r="AM34" s="22">
        <f t="shared" si="32"/>
        <v>505.18374</v>
      </c>
      <c r="AN34" s="22">
        <f t="shared" si="33"/>
        <v>0</v>
      </c>
      <c r="AO34" s="22">
        <f t="shared" si="34"/>
        <v>0</v>
      </c>
      <c r="AP34" s="22">
        <f t="shared" si="35"/>
        <v>0</v>
      </c>
      <c r="AQ34" s="22">
        <f t="shared" si="36"/>
        <v>2020.73496</v>
      </c>
      <c r="AR34" s="22">
        <f t="shared" si="37"/>
        <v>0</v>
      </c>
      <c r="AS34" s="22">
        <f t="shared" si="38"/>
        <v>2020.73496</v>
      </c>
      <c r="AT34" s="22">
        <f t="shared" si="39"/>
        <v>0</v>
      </c>
      <c r="AU34" s="22">
        <f t="shared" si="40"/>
        <v>757.77561000000003</v>
      </c>
      <c r="AV34" s="22">
        <f t="shared" si="41"/>
        <v>0</v>
      </c>
      <c r="AW34" s="22">
        <f t="shared" si="42"/>
        <v>1010.36748</v>
      </c>
      <c r="AX34" s="22">
        <f t="shared" si="43"/>
        <v>0</v>
      </c>
      <c r="AY34" s="22">
        <f t="shared" si="44"/>
        <v>1010.36748</v>
      </c>
      <c r="AZ34" s="22">
        <f t="shared" si="45"/>
        <v>0</v>
      </c>
      <c r="BA34" s="22">
        <f t="shared" si="46"/>
        <v>1010.36748</v>
      </c>
      <c r="BB34" s="22">
        <f t="shared" si="47"/>
        <v>0</v>
      </c>
      <c r="BC34" s="22">
        <f t="shared" si="48"/>
        <v>0</v>
      </c>
      <c r="BD34" s="22">
        <f t="shared" si="49"/>
        <v>0</v>
      </c>
      <c r="BE34" s="22">
        <f t="shared" si="50"/>
        <v>252.59187</v>
      </c>
      <c r="BF34" s="22">
        <f t="shared" si="51"/>
        <v>1262.9593500000001</v>
      </c>
      <c r="BG34" s="22">
        <f t="shared" si="52"/>
        <v>2525.9187000000002</v>
      </c>
      <c r="BH34" s="22">
        <f t="shared" si="53"/>
        <v>0</v>
      </c>
      <c r="BI34" s="22">
        <f t="shared" si="54"/>
        <v>0</v>
      </c>
      <c r="BJ34" s="19" t="s">
        <v>503</v>
      </c>
      <c r="BK34" s="23" t="s">
        <v>504</v>
      </c>
      <c r="BL34" s="43">
        <f t="shared" si="55"/>
        <v>19954.757730000001</v>
      </c>
      <c r="BM34" s="39">
        <f t="shared" si="56"/>
        <v>17832.669999999998</v>
      </c>
    </row>
    <row r="35" spans="1:65" ht="33.75">
      <c r="A35" s="10" t="s">
        <v>503</v>
      </c>
      <c r="B35" s="23" t="s">
        <v>504</v>
      </c>
      <c r="C35" s="66">
        <v>78</v>
      </c>
      <c r="D35" s="26" t="s">
        <v>508</v>
      </c>
      <c r="E35" s="42">
        <v>189.21</v>
      </c>
      <c r="F35" s="21">
        <f t="shared" si="57"/>
        <v>18.921000000000003</v>
      </c>
      <c r="G35" s="21">
        <f t="shared" si="58"/>
        <v>3.5949900000000006</v>
      </c>
      <c r="H35" s="21">
        <f t="shared" si="59"/>
        <v>211.72599</v>
      </c>
      <c r="J35" s="10">
        <f t="shared" si="3"/>
        <v>76</v>
      </c>
      <c r="K35" s="10">
        <v>20</v>
      </c>
      <c r="L35" s="242">
        <v>8</v>
      </c>
      <c r="M35" s="10">
        <v>2</v>
      </c>
      <c r="N35" s="242"/>
      <c r="O35" s="10">
        <v>8</v>
      </c>
      <c r="P35" s="10"/>
      <c r="Q35" s="10">
        <v>8</v>
      </c>
      <c r="R35" s="10"/>
      <c r="S35" s="10">
        <v>8</v>
      </c>
      <c r="T35" s="10"/>
      <c r="U35" s="10"/>
      <c r="V35" s="10"/>
      <c r="W35" s="10">
        <v>1</v>
      </c>
      <c r="X35" s="10"/>
      <c r="Y35" s="10">
        <v>4</v>
      </c>
      <c r="Z35" s="10"/>
      <c r="AA35" s="10">
        <v>4</v>
      </c>
      <c r="AB35" s="10"/>
      <c r="AC35" s="10"/>
      <c r="AD35" s="10"/>
      <c r="AE35" s="10">
        <v>1</v>
      </c>
      <c r="AF35" s="10">
        <v>4</v>
      </c>
      <c r="AG35" s="10">
        <v>5</v>
      </c>
      <c r="AH35" s="10"/>
      <c r="AI35" s="10">
        <v>3</v>
      </c>
      <c r="AK35" s="22">
        <f t="shared" si="30"/>
        <v>4234.5198</v>
      </c>
      <c r="AL35" s="22">
        <f t="shared" si="31"/>
        <v>1693.80792</v>
      </c>
      <c r="AM35" s="22">
        <f t="shared" si="32"/>
        <v>423.45197999999999</v>
      </c>
      <c r="AN35" s="22">
        <f t="shared" si="33"/>
        <v>0</v>
      </c>
      <c r="AO35" s="22">
        <f t="shared" si="34"/>
        <v>1693.80792</v>
      </c>
      <c r="AP35" s="22">
        <f t="shared" si="35"/>
        <v>0</v>
      </c>
      <c r="AQ35" s="22">
        <f t="shared" si="36"/>
        <v>1693.80792</v>
      </c>
      <c r="AR35" s="22">
        <f t="shared" si="37"/>
        <v>0</v>
      </c>
      <c r="AS35" s="22">
        <f t="shared" si="38"/>
        <v>1693.80792</v>
      </c>
      <c r="AT35" s="22">
        <f t="shared" si="39"/>
        <v>0</v>
      </c>
      <c r="AU35" s="22">
        <f t="shared" si="40"/>
        <v>0</v>
      </c>
      <c r="AV35" s="22">
        <f t="shared" si="41"/>
        <v>0</v>
      </c>
      <c r="AW35" s="22">
        <f t="shared" si="42"/>
        <v>211.72599</v>
      </c>
      <c r="AX35" s="22">
        <f t="shared" si="43"/>
        <v>0</v>
      </c>
      <c r="AY35" s="22">
        <f t="shared" si="44"/>
        <v>846.90395999999998</v>
      </c>
      <c r="AZ35" s="22">
        <f t="shared" si="45"/>
        <v>0</v>
      </c>
      <c r="BA35" s="22">
        <f t="shared" si="46"/>
        <v>846.90395999999998</v>
      </c>
      <c r="BB35" s="22">
        <f t="shared" si="47"/>
        <v>0</v>
      </c>
      <c r="BC35" s="22">
        <f t="shared" si="48"/>
        <v>0</v>
      </c>
      <c r="BD35" s="22">
        <f t="shared" si="49"/>
        <v>0</v>
      </c>
      <c r="BE35" s="22">
        <f t="shared" si="50"/>
        <v>211.72599</v>
      </c>
      <c r="BF35" s="22">
        <f t="shared" si="51"/>
        <v>846.90395999999998</v>
      </c>
      <c r="BG35" s="22">
        <f t="shared" si="52"/>
        <v>1058.62995</v>
      </c>
      <c r="BH35" s="22">
        <f t="shared" si="53"/>
        <v>0</v>
      </c>
      <c r="BI35" s="22">
        <f t="shared" si="54"/>
        <v>635.17796999999996</v>
      </c>
      <c r="BJ35" s="19" t="s">
        <v>503</v>
      </c>
      <c r="BK35" s="23" t="s">
        <v>504</v>
      </c>
      <c r="BL35" s="43">
        <f t="shared" si="55"/>
        <v>16091.17524</v>
      </c>
      <c r="BM35" s="39">
        <f t="shared" si="56"/>
        <v>14379.960000000001</v>
      </c>
    </row>
    <row r="36" spans="1:65" ht="33.75">
      <c r="A36" s="10" t="s">
        <v>503</v>
      </c>
      <c r="B36" s="23" t="s">
        <v>504</v>
      </c>
      <c r="C36" s="66">
        <v>79</v>
      </c>
      <c r="D36" s="26" t="s">
        <v>509</v>
      </c>
      <c r="E36" s="42">
        <v>173.44</v>
      </c>
      <c r="F36" s="21">
        <f t="shared" si="57"/>
        <v>17.344000000000001</v>
      </c>
      <c r="G36" s="21">
        <f t="shared" si="58"/>
        <v>3.2953600000000001</v>
      </c>
      <c r="H36" s="21">
        <f t="shared" si="59"/>
        <v>194.07935999999998</v>
      </c>
      <c r="J36" s="10">
        <f t="shared" si="3"/>
        <v>50</v>
      </c>
      <c r="K36" s="10">
        <v>20</v>
      </c>
      <c r="L36" s="242">
        <v>2</v>
      </c>
      <c r="M36" s="10">
        <v>2</v>
      </c>
      <c r="N36" s="242"/>
      <c r="O36" s="10">
        <v>2</v>
      </c>
      <c r="P36" s="10"/>
      <c r="Q36" s="10">
        <v>2</v>
      </c>
      <c r="R36" s="10"/>
      <c r="S36" s="10">
        <v>2</v>
      </c>
      <c r="T36" s="10"/>
      <c r="U36" s="10">
        <v>7</v>
      </c>
      <c r="V36" s="10"/>
      <c r="W36" s="10">
        <v>2</v>
      </c>
      <c r="X36" s="10"/>
      <c r="Y36" s="10">
        <v>2</v>
      </c>
      <c r="Z36" s="10"/>
      <c r="AA36" s="10">
        <v>2</v>
      </c>
      <c r="AB36" s="10">
        <v>1</v>
      </c>
      <c r="AC36" s="10"/>
      <c r="AD36" s="10"/>
      <c r="AE36" s="10">
        <v>1</v>
      </c>
      <c r="AF36" s="10">
        <v>5</v>
      </c>
      <c r="AG36" s="10"/>
      <c r="AH36" s="10"/>
      <c r="AI36" s="10"/>
      <c r="AK36" s="22">
        <f t="shared" si="30"/>
        <v>3881.5871999999995</v>
      </c>
      <c r="AL36" s="22">
        <f t="shared" si="31"/>
        <v>388.15871999999996</v>
      </c>
      <c r="AM36" s="22">
        <f t="shared" si="32"/>
        <v>388.15871999999996</v>
      </c>
      <c r="AN36" s="22">
        <f t="shared" si="33"/>
        <v>0</v>
      </c>
      <c r="AO36" s="22">
        <f t="shared" si="34"/>
        <v>388.15871999999996</v>
      </c>
      <c r="AP36" s="22">
        <f t="shared" si="35"/>
        <v>0</v>
      </c>
      <c r="AQ36" s="22">
        <f t="shared" si="36"/>
        <v>388.15871999999996</v>
      </c>
      <c r="AR36" s="22">
        <f t="shared" si="37"/>
        <v>0</v>
      </c>
      <c r="AS36" s="22">
        <f t="shared" si="38"/>
        <v>388.15871999999996</v>
      </c>
      <c r="AT36" s="22">
        <f t="shared" si="39"/>
        <v>0</v>
      </c>
      <c r="AU36" s="22">
        <f t="shared" si="40"/>
        <v>1358.5555199999999</v>
      </c>
      <c r="AV36" s="22">
        <f t="shared" si="41"/>
        <v>0</v>
      </c>
      <c r="AW36" s="22">
        <f t="shared" si="42"/>
        <v>388.15871999999996</v>
      </c>
      <c r="AX36" s="22">
        <f t="shared" si="43"/>
        <v>0</v>
      </c>
      <c r="AY36" s="22">
        <f t="shared" si="44"/>
        <v>388.15871999999996</v>
      </c>
      <c r="AZ36" s="22">
        <f t="shared" si="45"/>
        <v>0</v>
      </c>
      <c r="BA36" s="22">
        <f t="shared" si="46"/>
        <v>388.15871999999996</v>
      </c>
      <c r="BB36" s="22">
        <f t="shared" si="47"/>
        <v>194.07935999999998</v>
      </c>
      <c r="BC36" s="22">
        <f t="shared" si="48"/>
        <v>0</v>
      </c>
      <c r="BD36" s="22">
        <f t="shared" si="49"/>
        <v>0</v>
      </c>
      <c r="BE36" s="22">
        <f t="shared" si="50"/>
        <v>194.07935999999998</v>
      </c>
      <c r="BF36" s="22">
        <f t="shared" si="51"/>
        <v>970.39679999999987</v>
      </c>
      <c r="BG36" s="22">
        <f t="shared" si="52"/>
        <v>0</v>
      </c>
      <c r="BH36" s="22">
        <f t="shared" si="53"/>
        <v>0</v>
      </c>
      <c r="BI36" s="22">
        <f t="shared" si="54"/>
        <v>0</v>
      </c>
      <c r="BJ36" s="19" t="s">
        <v>503</v>
      </c>
      <c r="BK36" s="23" t="s">
        <v>504</v>
      </c>
      <c r="BL36" s="43">
        <f t="shared" si="55"/>
        <v>9703.9679999999989</v>
      </c>
      <c r="BM36" s="39">
        <f t="shared" si="56"/>
        <v>8672</v>
      </c>
    </row>
    <row r="37" spans="1:65" ht="22.5">
      <c r="A37" s="10" t="s">
        <v>510</v>
      </c>
      <c r="B37" s="19" t="s">
        <v>511</v>
      </c>
      <c r="C37" s="66">
        <v>82</v>
      </c>
      <c r="D37" s="20" t="s">
        <v>512</v>
      </c>
      <c r="E37" s="42">
        <v>1696.06</v>
      </c>
      <c r="F37" s="21">
        <f t="shared" si="57"/>
        <v>169.60599999999999</v>
      </c>
      <c r="G37" s="21">
        <f t="shared" si="58"/>
        <v>32.225139999999996</v>
      </c>
      <c r="H37" s="21">
        <f t="shared" si="59"/>
        <v>1897.89114</v>
      </c>
      <c r="J37" s="10">
        <f t="shared" si="3"/>
        <v>70</v>
      </c>
      <c r="K37" s="10">
        <v>20</v>
      </c>
      <c r="L37" s="10"/>
      <c r="M37" s="10"/>
      <c r="N37" s="242"/>
      <c r="O37" s="10">
        <v>4</v>
      </c>
      <c r="P37" s="10"/>
      <c r="Q37" s="10">
        <v>10</v>
      </c>
      <c r="R37" s="10"/>
      <c r="S37" s="10"/>
      <c r="T37" s="10">
        <v>8</v>
      </c>
      <c r="U37" s="10"/>
      <c r="V37" s="10">
        <v>2</v>
      </c>
      <c r="W37" s="10"/>
      <c r="X37" s="10"/>
      <c r="Y37" s="10">
        <v>4</v>
      </c>
      <c r="Z37" s="10">
        <v>5</v>
      </c>
      <c r="AA37" s="10">
        <v>4</v>
      </c>
      <c r="AB37" s="10"/>
      <c r="AC37" s="10"/>
      <c r="AD37" s="10"/>
      <c r="AE37" s="10"/>
      <c r="AF37" s="10">
        <v>5</v>
      </c>
      <c r="AG37" s="10">
        <v>2</v>
      </c>
      <c r="AH37" s="10">
        <v>5</v>
      </c>
      <c r="AI37" s="10">
        <v>1</v>
      </c>
      <c r="AK37" s="22">
        <f t="shared" si="30"/>
        <v>37957.822800000002</v>
      </c>
      <c r="AL37" s="22">
        <f t="shared" si="31"/>
        <v>0</v>
      </c>
      <c r="AM37" s="22">
        <f t="shared" si="32"/>
        <v>0</v>
      </c>
      <c r="AN37" s="22">
        <f t="shared" si="33"/>
        <v>0</v>
      </c>
      <c r="AO37" s="22">
        <f t="shared" si="34"/>
        <v>7591.5645599999998</v>
      </c>
      <c r="AP37" s="22">
        <f t="shared" si="35"/>
        <v>0</v>
      </c>
      <c r="AQ37" s="22">
        <f t="shared" si="36"/>
        <v>18978.911400000001</v>
      </c>
      <c r="AR37" s="22">
        <f t="shared" si="37"/>
        <v>0</v>
      </c>
      <c r="AS37" s="22">
        <f t="shared" si="38"/>
        <v>0</v>
      </c>
      <c r="AT37" s="22">
        <f t="shared" si="39"/>
        <v>15183.12912</v>
      </c>
      <c r="AU37" s="22">
        <f t="shared" si="40"/>
        <v>0</v>
      </c>
      <c r="AV37" s="22">
        <f t="shared" si="41"/>
        <v>3795.7822799999999</v>
      </c>
      <c r="AW37" s="22">
        <f t="shared" si="42"/>
        <v>0</v>
      </c>
      <c r="AX37" s="22">
        <f t="shared" si="43"/>
        <v>0</v>
      </c>
      <c r="AY37" s="22">
        <f t="shared" si="44"/>
        <v>7591.5645599999998</v>
      </c>
      <c r="AZ37" s="22">
        <f t="shared" si="45"/>
        <v>9489.4557000000004</v>
      </c>
      <c r="BA37" s="22">
        <f t="shared" si="46"/>
        <v>7591.5645599999998</v>
      </c>
      <c r="BB37" s="22">
        <f t="shared" si="47"/>
        <v>0</v>
      </c>
      <c r="BC37" s="22">
        <f t="shared" si="48"/>
        <v>0</v>
      </c>
      <c r="BD37" s="22">
        <f t="shared" si="49"/>
        <v>0</v>
      </c>
      <c r="BE37" s="22">
        <f t="shared" si="50"/>
        <v>0</v>
      </c>
      <c r="BF37" s="22">
        <f t="shared" si="51"/>
        <v>9489.4557000000004</v>
      </c>
      <c r="BG37" s="22">
        <f t="shared" si="52"/>
        <v>3795.7822799999999</v>
      </c>
      <c r="BH37" s="22">
        <f t="shared" si="53"/>
        <v>9489.4557000000004</v>
      </c>
      <c r="BI37" s="22">
        <f t="shared" si="54"/>
        <v>1897.89114</v>
      </c>
      <c r="BJ37" s="19" t="s">
        <v>510</v>
      </c>
      <c r="BK37" s="19" t="s">
        <v>511</v>
      </c>
      <c r="BL37" s="43">
        <f t="shared" si="55"/>
        <v>132852.3798</v>
      </c>
      <c r="BM37" s="39">
        <f t="shared" si="56"/>
        <v>118724.2</v>
      </c>
    </row>
    <row r="38" spans="1:65" ht="22.5">
      <c r="A38" s="10" t="s">
        <v>510</v>
      </c>
      <c r="B38" s="19" t="s">
        <v>511</v>
      </c>
      <c r="C38" s="66">
        <v>83</v>
      </c>
      <c r="D38" s="20" t="s">
        <v>513</v>
      </c>
      <c r="E38" s="42">
        <v>1809.13</v>
      </c>
      <c r="F38" s="21">
        <f t="shared" si="57"/>
        <v>180.91300000000001</v>
      </c>
      <c r="G38" s="21">
        <f t="shared" si="58"/>
        <v>34.373470000000005</v>
      </c>
      <c r="H38" s="21">
        <f t="shared" si="59"/>
        <v>2024.4164700000001</v>
      </c>
      <c r="J38" s="10">
        <f t="shared" si="3"/>
        <v>4</v>
      </c>
      <c r="K38" s="10"/>
      <c r="L38" s="10"/>
      <c r="M38" s="10"/>
      <c r="N38" s="242"/>
      <c r="O38" s="10">
        <v>2</v>
      </c>
      <c r="P38" s="10"/>
      <c r="Q38" s="10"/>
      <c r="R38" s="10"/>
      <c r="S38" s="10"/>
      <c r="T38" s="10"/>
      <c r="U38" s="10"/>
      <c r="V38" s="10"/>
      <c r="W38" s="10"/>
      <c r="X38" s="10"/>
      <c r="Y38" s="10"/>
      <c r="Z38" s="10">
        <v>2</v>
      </c>
      <c r="AA38" s="10"/>
      <c r="AB38" s="10"/>
      <c r="AC38" s="10"/>
      <c r="AD38" s="10"/>
      <c r="AE38" s="10"/>
      <c r="AF38" s="10"/>
      <c r="AG38" s="10"/>
      <c r="AH38" s="10"/>
      <c r="AI38" s="10"/>
      <c r="AK38" s="22">
        <f t="shared" si="30"/>
        <v>0</v>
      </c>
      <c r="AL38" s="22">
        <f t="shared" si="31"/>
        <v>0</v>
      </c>
      <c r="AM38" s="22">
        <f t="shared" si="32"/>
        <v>0</v>
      </c>
      <c r="AN38" s="22">
        <f t="shared" si="33"/>
        <v>0</v>
      </c>
      <c r="AO38" s="22">
        <f t="shared" si="34"/>
        <v>4048.8329400000002</v>
      </c>
      <c r="AP38" s="22">
        <f t="shared" si="35"/>
        <v>0</v>
      </c>
      <c r="AQ38" s="22">
        <f t="shared" si="36"/>
        <v>0</v>
      </c>
      <c r="AR38" s="22">
        <f t="shared" si="37"/>
        <v>0</v>
      </c>
      <c r="AS38" s="22">
        <f t="shared" si="38"/>
        <v>0</v>
      </c>
      <c r="AT38" s="22">
        <f t="shared" si="39"/>
        <v>0</v>
      </c>
      <c r="AU38" s="22">
        <f t="shared" si="40"/>
        <v>0</v>
      </c>
      <c r="AV38" s="22">
        <f t="shared" si="41"/>
        <v>0</v>
      </c>
      <c r="AW38" s="22">
        <f t="shared" si="42"/>
        <v>0</v>
      </c>
      <c r="AX38" s="22">
        <f t="shared" si="43"/>
        <v>0</v>
      </c>
      <c r="AY38" s="22">
        <f t="shared" si="44"/>
        <v>0</v>
      </c>
      <c r="AZ38" s="22">
        <f t="shared" si="45"/>
        <v>4048.8329400000002</v>
      </c>
      <c r="BA38" s="22">
        <f t="shared" si="46"/>
        <v>0</v>
      </c>
      <c r="BB38" s="22">
        <f t="shared" si="47"/>
        <v>0</v>
      </c>
      <c r="BC38" s="22">
        <f t="shared" si="48"/>
        <v>0</v>
      </c>
      <c r="BD38" s="22">
        <f t="shared" si="49"/>
        <v>0</v>
      </c>
      <c r="BE38" s="22">
        <f t="shared" si="50"/>
        <v>0</v>
      </c>
      <c r="BF38" s="22">
        <f t="shared" si="51"/>
        <v>0</v>
      </c>
      <c r="BG38" s="22">
        <f t="shared" si="52"/>
        <v>0</v>
      </c>
      <c r="BH38" s="22">
        <f t="shared" si="53"/>
        <v>0</v>
      </c>
      <c r="BI38" s="22">
        <f t="shared" si="54"/>
        <v>0</v>
      </c>
      <c r="BJ38" s="19" t="s">
        <v>510</v>
      </c>
      <c r="BK38" s="19" t="s">
        <v>511</v>
      </c>
      <c r="BL38" s="43">
        <f t="shared" si="55"/>
        <v>8097.6658800000005</v>
      </c>
      <c r="BM38" s="39">
        <f t="shared" si="56"/>
        <v>7236.52</v>
      </c>
    </row>
    <row r="39" spans="1:65" ht="22.5">
      <c r="A39" s="10" t="s">
        <v>510</v>
      </c>
      <c r="B39" s="19" t="s">
        <v>511</v>
      </c>
      <c r="C39" s="66">
        <v>84</v>
      </c>
      <c r="D39" s="20" t="s">
        <v>514</v>
      </c>
      <c r="E39" s="42">
        <v>2171.7800000000002</v>
      </c>
      <c r="F39" s="21">
        <f t="shared" si="57"/>
        <v>217.17800000000003</v>
      </c>
      <c r="G39" s="21">
        <f t="shared" si="58"/>
        <v>41.263820000000003</v>
      </c>
      <c r="H39" s="21">
        <f t="shared" si="59"/>
        <v>2430.2218200000002</v>
      </c>
      <c r="J39" s="10">
        <f t="shared" si="3"/>
        <v>0</v>
      </c>
      <c r="K39" s="10"/>
      <c r="L39" s="10"/>
      <c r="M39" s="10"/>
      <c r="N39" s="242"/>
      <c r="O39" s="10"/>
      <c r="P39" s="10"/>
      <c r="Q39" s="10"/>
      <c r="R39" s="10"/>
      <c r="S39" s="10"/>
      <c r="T39" s="10"/>
      <c r="U39" s="10"/>
      <c r="V39" s="10"/>
      <c r="W39" s="10"/>
      <c r="X39" s="10"/>
      <c r="Y39" s="10"/>
      <c r="Z39" s="10"/>
      <c r="AA39" s="10"/>
      <c r="AB39" s="10"/>
      <c r="AC39" s="10"/>
      <c r="AD39" s="10"/>
      <c r="AE39" s="10"/>
      <c r="AF39" s="10"/>
      <c r="AG39" s="10"/>
      <c r="AH39" s="10"/>
      <c r="AI39" s="10"/>
      <c r="AK39" s="22">
        <f t="shared" si="30"/>
        <v>0</v>
      </c>
      <c r="AL39" s="22">
        <f t="shared" si="31"/>
        <v>0</v>
      </c>
      <c r="AM39" s="22">
        <f t="shared" si="32"/>
        <v>0</v>
      </c>
      <c r="AN39" s="22">
        <f t="shared" si="33"/>
        <v>0</v>
      </c>
      <c r="AO39" s="22">
        <f t="shared" si="34"/>
        <v>0</v>
      </c>
      <c r="AP39" s="22">
        <f t="shared" si="35"/>
        <v>0</v>
      </c>
      <c r="AQ39" s="22">
        <f t="shared" si="36"/>
        <v>0</v>
      </c>
      <c r="AR39" s="22">
        <f t="shared" si="37"/>
        <v>0</v>
      </c>
      <c r="AS39" s="22">
        <f t="shared" si="38"/>
        <v>0</v>
      </c>
      <c r="AT39" s="22">
        <f t="shared" si="39"/>
        <v>0</v>
      </c>
      <c r="AU39" s="22">
        <f t="shared" si="40"/>
        <v>0</v>
      </c>
      <c r="AV39" s="22">
        <f t="shared" si="41"/>
        <v>0</v>
      </c>
      <c r="AW39" s="22">
        <f t="shared" si="42"/>
        <v>0</v>
      </c>
      <c r="AX39" s="22">
        <f t="shared" si="43"/>
        <v>0</v>
      </c>
      <c r="AY39" s="22">
        <f t="shared" si="44"/>
        <v>0</v>
      </c>
      <c r="AZ39" s="22">
        <f t="shared" si="45"/>
        <v>0</v>
      </c>
      <c r="BA39" s="22">
        <f t="shared" si="46"/>
        <v>0</v>
      </c>
      <c r="BB39" s="22">
        <f t="shared" si="47"/>
        <v>0</v>
      </c>
      <c r="BC39" s="22">
        <f t="shared" si="48"/>
        <v>0</v>
      </c>
      <c r="BD39" s="22">
        <f t="shared" si="49"/>
        <v>0</v>
      </c>
      <c r="BE39" s="22">
        <f t="shared" si="50"/>
        <v>0</v>
      </c>
      <c r="BF39" s="22">
        <f t="shared" si="51"/>
        <v>0</v>
      </c>
      <c r="BG39" s="22">
        <f t="shared" si="52"/>
        <v>0</v>
      </c>
      <c r="BH39" s="22">
        <f t="shared" si="53"/>
        <v>0</v>
      </c>
      <c r="BI39" s="22">
        <f t="shared" si="54"/>
        <v>0</v>
      </c>
      <c r="BJ39" s="19" t="s">
        <v>510</v>
      </c>
      <c r="BK39" s="19" t="s">
        <v>511</v>
      </c>
      <c r="BL39" s="43">
        <f t="shared" si="55"/>
        <v>0</v>
      </c>
      <c r="BM39" s="39">
        <f t="shared" si="56"/>
        <v>0</v>
      </c>
    </row>
    <row r="40" spans="1:65" ht="22.5">
      <c r="A40" s="10" t="s">
        <v>510</v>
      </c>
      <c r="B40" s="19" t="s">
        <v>511</v>
      </c>
      <c r="C40" s="66">
        <v>85</v>
      </c>
      <c r="D40" s="20" t="s">
        <v>515</v>
      </c>
      <c r="E40" s="42">
        <v>2171.7800000000002</v>
      </c>
      <c r="F40" s="21">
        <f t="shared" si="57"/>
        <v>217.17800000000003</v>
      </c>
      <c r="G40" s="21">
        <f t="shared" si="58"/>
        <v>41.263820000000003</v>
      </c>
      <c r="H40" s="21">
        <f t="shared" si="59"/>
        <v>2430.2218200000002</v>
      </c>
      <c r="J40" s="10">
        <f t="shared" si="3"/>
        <v>0</v>
      </c>
      <c r="K40" s="10"/>
      <c r="L40" s="10"/>
      <c r="M40" s="10"/>
      <c r="N40" s="242"/>
      <c r="O40" s="10"/>
      <c r="P40" s="10"/>
      <c r="Q40" s="10"/>
      <c r="R40" s="10"/>
      <c r="S40" s="10"/>
      <c r="T40" s="10"/>
      <c r="U40" s="10"/>
      <c r="V40" s="10"/>
      <c r="W40" s="10"/>
      <c r="X40" s="10"/>
      <c r="Y40" s="10"/>
      <c r="Z40" s="10"/>
      <c r="AA40" s="10"/>
      <c r="AB40" s="10"/>
      <c r="AC40" s="10"/>
      <c r="AD40" s="10"/>
      <c r="AE40" s="10"/>
      <c r="AF40" s="10"/>
      <c r="AG40" s="10"/>
      <c r="AH40" s="10"/>
      <c r="AI40" s="10"/>
      <c r="AK40" s="22">
        <f t="shared" si="30"/>
        <v>0</v>
      </c>
      <c r="AL40" s="22">
        <f t="shared" si="31"/>
        <v>0</v>
      </c>
      <c r="AM40" s="22">
        <f t="shared" si="32"/>
        <v>0</v>
      </c>
      <c r="AN40" s="22">
        <f t="shared" si="33"/>
        <v>0</v>
      </c>
      <c r="AO40" s="22">
        <f t="shared" si="34"/>
        <v>0</v>
      </c>
      <c r="AP40" s="22">
        <f t="shared" si="35"/>
        <v>0</v>
      </c>
      <c r="AQ40" s="22">
        <f t="shared" si="36"/>
        <v>0</v>
      </c>
      <c r="AR40" s="22">
        <f t="shared" si="37"/>
        <v>0</v>
      </c>
      <c r="AS40" s="22">
        <f t="shared" si="38"/>
        <v>0</v>
      </c>
      <c r="AT40" s="22">
        <f t="shared" si="39"/>
        <v>0</v>
      </c>
      <c r="AU40" s="22">
        <f t="shared" si="40"/>
        <v>0</v>
      </c>
      <c r="AV40" s="22">
        <f t="shared" si="41"/>
        <v>0</v>
      </c>
      <c r="AW40" s="22">
        <f t="shared" si="42"/>
        <v>0</v>
      </c>
      <c r="AX40" s="22">
        <f t="shared" si="43"/>
        <v>0</v>
      </c>
      <c r="AY40" s="22">
        <f t="shared" si="44"/>
        <v>0</v>
      </c>
      <c r="AZ40" s="22">
        <f t="shared" si="45"/>
        <v>0</v>
      </c>
      <c r="BA40" s="22">
        <f t="shared" si="46"/>
        <v>0</v>
      </c>
      <c r="BB40" s="22">
        <f t="shared" si="47"/>
        <v>0</v>
      </c>
      <c r="BC40" s="22">
        <f t="shared" si="48"/>
        <v>0</v>
      </c>
      <c r="BD40" s="22">
        <f t="shared" si="49"/>
        <v>0</v>
      </c>
      <c r="BE40" s="22">
        <f t="shared" si="50"/>
        <v>0</v>
      </c>
      <c r="BF40" s="22">
        <f t="shared" si="51"/>
        <v>0</v>
      </c>
      <c r="BG40" s="22">
        <f t="shared" si="52"/>
        <v>0</v>
      </c>
      <c r="BH40" s="22">
        <f t="shared" si="53"/>
        <v>0</v>
      </c>
      <c r="BI40" s="22">
        <f t="shared" si="54"/>
        <v>0</v>
      </c>
      <c r="BJ40" s="19" t="s">
        <v>510</v>
      </c>
      <c r="BK40" s="19" t="s">
        <v>511</v>
      </c>
      <c r="BL40" s="43">
        <f t="shared" si="55"/>
        <v>0</v>
      </c>
      <c r="BM40" s="39">
        <f t="shared" si="56"/>
        <v>0</v>
      </c>
    </row>
    <row r="41" spans="1:65" ht="22.5">
      <c r="A41" s="10" t="s">
        <v>516</v>
      </c>
      <c r="B41" s="10" t="s">
        <v>517</v>
      </c>
      <c r="C41" s="66">
        <v>87</v>
      </c>
      <c r="D41" s="20" t="s">
        <v>518</v>
      </c>
      <c r="E41" s="42">
        <v>2596.21</v>
      </c>
      <c r="F41" s="21">
        <f t="shared" si="57"/>
        <v>259.62100000000004</v>
      </c>
      <c r="G41" s="21">
        <f t="shared" si="58"/>
        <v>49.327990000000007</v>
      </c>
      <c r="H41" s="21">
        <f t="shared" si="59"/>
        <v>2905.1589900000004</v>
      </c>
      <c r="J41" s="10">
        <f t="shared" si="3"/>
        <v>28</v>
      </c>
      <c r="K41" s="10"/>
      <c r="L41" s="10"/>
      <c r="M41" s="10"/>
      <c r="N41" s="242"/>
      <c r="O41" s="10">
        <v>4</v>
      </c>
      <c r="P41" s="10"/>
      <c r="Q41" s="10">
        <v>10</v>
      </c>
      <c r="R41" s="10"/>
      <c r="S41" s="10">
        <v>4</v>
      </c>
      <c r="T41" s="10"/>
      <c r="U41" s="10"/>
      <c r="V41" s="10">
        <v>5</v>
      </c>
      <c r="W41" s="10"/>
      <c r="X41" s="10"/>
      <c r="Y41" s="10"/>
      <c r="Z41" s="10">
        <v>5</v>
      </c>
      <c r="AA41" s="10"/>
      <c r="AB41" s="10"/>
      <c r="AC41" s="10"/>
      <c r="AD41" s="10"/>
      <c r="AE41" s="10"/>
      <c r="AF41" s="10"/>
      <c r="AG41" s="10"/>
      <c r="AH41" s="10"/>
      <c r="AI41" s="10"/>
      <c r="AK41" s="22">
        <f t="shared" si="30"/>
        <v>0</v>
      </c>
      <c r="AL41" s="22">
        <f t="shared" si="31"/>
        <v>0</v>
      </c>
      <c r="AM41" s="22">
        <f t="shared" si="32"/>
        <v>0</v>
      </c>
      <c r="AN41" s="22">
        <f t="shared" si="33"/>
        <v>0</v>
      </c>
      <c r="AO41" s="22">
        <f t="shared" si="34"/>
        <v>11620.635960000001</v>
      </c>
      <c r="AP41" s="22">
        <f t="shared" si="35"/>
        <v>0</v>
      </c>
      <c r="AQ41" s="22">
        <f t="shared" si="36"/>
        <v>29051.589900000003</v>
      </c>
      <c r="AR41" s="22">
        <f t="shared" si="37"/>
        <v>0</v>
      </c>
      <c r="AS41" s="22">
        <f t="shared" si="38"/>
        <v>11620.635960000001</v>
      </c>
      <c r="AT41" s="22">
        <f t="shared" si="39"/>
        <v>0</v>
      </c>
      <c r="AU41" s="22">
        <f t="shared" si="40"/>
        <v>0</v>
      </c>
      <c r="AV41" s="22">
        <f t="shared" si="41"/>
        <v>14525.794950000001</v>
      </c>
      <c r="AW41" s="22">
        <f t="shared" si="42"/>
        <v>0</v>
      </c>
      <c r="AX41" s="22">
        <f t="shared" si="43"/>
        <v>0</v>
      </c>
      <c r="AY41" s="22">
        <f t="shared" si="44"/>
        <v>0</v>
      </c>
      <c r="AZ41" s="22">
        <f t="shared" si="45"/>
        <v>14525.794950000001</v>
      </c>
      <c r="BA41" s="22">
        <f t="shared" si="46"/>
        <v>0</v>
      </c>
      <c r="BB41" s="22">
        <f t="shared" si="47"/>
        <v>0</v>
      </c>
      <c r="BC41" s="22">
        <f t="shared" si="48"/>
        <v>0</v>
      </c>
      <c r="BD41" s="22">
        <f t="shared" si="49"/>
        <v>0</v>
      </c>
      <c r="BE41" s="22">
        <f t="shared" si="50"/>
        <v>0</v>
      </c>
      <c r="BF41" s="22">
        <f t="shared" si="51"/>
        <v>0</v>
      </c>
      <c r="BG41" s="22">
        <f t="shared" si="52"/>
        <v>0</v>
      </c>
      <c r="BH41" s="22">
        <f t="shared" si="53"/>
        <v>0</v>
      </c>
      <c r="BI41" s="22">
        <f t="shared" si="54"/>
        <v>0</v>
      </c>
      <c r="BJ41" s="19" t="s">
        <v>516</v>
      </c>
      <c r="BK41" s="19" t="s">
        <v>517</v>
      </c>
      <c r="BL41" s="43">
        <f t="shared" si="55"/>
        <v>81344.451720000012</v>
      </c>
      <c r="BM41" s="39">
        <f t="shared" si="56"/>
        <v>72693.88</v>
      </c>
    </row>
    <row r="42" spans="1:65" ht="22.5">
      <c r="A42" s="10" t="s">
        <v>519</v>
      </c>
      <c r="B42" s="23" t="s">
        <v>520</v>
      </c>
      <c r="C42" s="66">
        <v>90</v>
      </c>
      <c r="D42" s="20" t="s">
        <v>521</v>
      </c>
      <c r="E42" s="42">
        <v>2473.0300000000002</v>
      </c>
      <c r="F42" s="21">
        <f t="shared" si="57"/>
        <v>247.30300000000003</v>
      </c>
      <c r="G42" s="21">
        <f t="shared" si="58"/>
        <v>46.987570000000005</v>
      </c>
      <c r="H42" s="21">
        <f t="shared" si="59"/>
        <v>2767.3205699999999</v>
      </c>
      <c r="J42" s="10">
        <f t="shared" si="3"/>
        <v>6</v>
      </c>
      <c r="K42" s="10"/>
      <c r="L42" s="10"/>
      <c r="M42" s="10"/>
      <c r="N42" s="242"/>
      <c r="O42" s="10">
        <v>2</v>
      </c>
      <c r="P42" s="10"/>
      <c r="Q42" s="10"/>
      <c r="R42" s="10"/>
      <c r="S42" s="10"/>
      <c r="T42" s="10"/>
      <c r="U42" s="10"/>
      <c r="V42" s="10">
        <v>2</v>
      </c>
      <c r="W42" s="10"/>
      <c r="X42" s="10"/>
      <c r="Y42" s="10"/>
      <c r="Z42" s="10"/>
      <c r="AA42" s="10"/>
      <c r="AB42" s="10">
        <v>2</v>
      </c>
      <c r="AC42" s="10"/>
      <c r="AD42" s="10"/>
      <c r="AE42" s="10"/>
      <c r="AF42" s="10"/>
      <c r="AG42" s="10"/>
      <c r="AH42" s="10"/>
      <c r="AI42" s="10"/>
      <c r="AK42" s="22">
        <f t="shared" si="30"/>
        <v>0</v>
      </c>
      <c r="AL42" s="22">
        <f t="shared" si="31"/>
        <v>0</v>
      </c>
      <c r="AM42" s="22">
        <f t="shared" si="32"/>
        <v>0</v>
      </c>
      <c r="AN42" s="22">
        <f t="shared" si="33"/>
        <v>0</v>
      </c>
      <c r="AO42" s="22">
        <f t="shared" si="34"/>
        <v>5534.6411399999997</v>
      </c>
      <c r="AP42" s="22">
        <f t="shared" si="35"/>
        <v>0</v>
      </c>
      <c r="AQ42" s="22">
        <f t="shared" si="36"/>
        <v>0</v>
      </c>
      <c r="AR42" s="22">
        <f t="shared" si="37"/>
        <v>0</v>
      </c>
      <c r="AS42" s="22">
        <f t="shared" si="38"/>
        <v>0</v>
      </c>
      <c r="AT42" s="22">
        <f t="shared" si="39"/>
        <v>0</v>
      </c>
      <c r="AU42" s="22">
        <f t="shared" si="40"/>
        <v>0</v>
      </c>
      <c r="AV42" s="22">
        <f t="shared" si="41"/>
        <v>5534.6411399999997</v>
      </c>
      <c r="AW42" s="22">
        <f t="shared" si="42"/>
        <v>0</v>
      </c>
      <c r="AX42" s="22">
        <f t="shared" si="43"/>
        <v>0</v>
      </c>
      <c r="AY42" s="22">
        <f t="shared" si="44"/>
        <v>0</v>
      </c>
      <c r="AZ42" s="22">
        <f t="shared" si="45"/>
        <v>0</v>
      </c>
      <c r="BA42" s="22">
        <f t="shared" si="46"/>
        <v>0</v>
      </c>
      <c r="BB42" s="22">
        <f t="shared" si="47"/>
        <v>5534.6411399999997</v>
      </c>
      <c r="BC42" s="22">
        <f t="shared" si="48"/>
        <v>0</v>
      </c>
      <c r="BD42" s="22">
        <f t="shared" si="49"/>
        <v>0</v>
      </c>
      <c r="BE42" s="22">
        <f t="shared" si="50"/>
        <v>0</v>
      </c>
      <c r="BF42" s="22">
        <f t="shared" si="51"/>
        <v>0</v>
      </c>
      <c r="BG42" s="22">
        <f t="shared" si="52"/>
        <v>0</v>
      </c>
      <c r="BH42" s="22">
        <f t="shared" si="53"/>
        <v>0</v>
      </c>
      <c r="BI42" s="22">
        <f t="shared" si="54"/>
        <v>0</v>
      </c>
      <c r="BJ42" s="19" t="s">
        <v>519</v>
      </c>
      <c r="BK42" s="23" t="s">
        <v>520</v>
      </c>
      <c r="BL42" s="43">
        <f t="shared" si="55"/>
        <v>16603.923419999999</v>
      </c>
      <c r="BM42" s="39">
        <f t="shared" si="56"/>
        <v>14838.18</v>
      </c>
    </row>
    <row r="43" spans="1:65" ht="22.5">
      <c r="A43" s="10" t="s">
        <v>519</v>
      </c>
      <c r="B43" s="23" t="s">
        <v>520</v>
      </c>
      <c r="C43" s="66">
        <v>91</v>
      </c>
      <c r="D43" s="20" t="s">
        <v>522</v>
      </c>
      <c r="E43" s="42">
        <v>2750.21</v>
      </c>
      <c r="F43" s="21">
        <f t="shared" si="57"/>
        <v>275.02100000000002</v>
      </c>
      <c r="G43" s="21">
        <f t="shared" si="58"/>
        <v>52.253990000000002</v>
      </c>
      <c r="H43" s="21">
        <f t="shared" si="59"/>
        <v>3077.4849900000004</v>
      </c>
      <c r="J43" s="10">
        <f t="shared" si="3"/>
        <v>0</v>
      </c>
      <c r="K43" s="10"/>
      <c r="L43" s="10"/>
      <c r="M43" s="10"/>
      <c r="N43" s="242"/>
      <c r="O43" s="10"/>
      <c r="P43" s="10"/>
      <c r="Q43" s="10"/>
      <c r="R43" s="10"/>
      <c r="S43" s="10"/>
      <c r="T43" s="10"/>
      <c r="U43" s="10"/>
      <c r="V43" s="10"/>
      <c r="W43" s="10"/>
      <c r="X43" s="10"/>
      <c r="Y43" s="10"/>
      <c r="Z43" s="10"/>
      <c r="AA43" s="10"/>
      <c r="AB43" s="10"/>
      <c r="AC43" s="10"/>
      <c r="AD43" s="10"/>
      <c r="AE43" s="10"/>
      <c r="AF43" s="10"/>
      <c r="AG43" s="10"/>
      <c r="AH43" s="10"/>
      <c r="AI43" s="10"/>
      <c r="AK43" s="22">
        <f t="shared" si="30"/>
        <v>0</v>
      </c>
      <c r="AL43" s="22">
        <f t="shared" si="31"/>
        <v>0</v>
      </c>
      <c r="AM43" s="22">
        <f t="shared" si="32"/>
        <v>0</v>
      </c>
      <c r="AN43" s="22">
        <f t="shared" si="33"/>
        <v>0</v>
      </c>
      <c r="AO43" s="22">
        <f t="shared" si="34"/>
        <v>0</v>
      </c>
      <c r="AP43" s="22">
        <f t="shared" si="35"/>
        <v>0</v>
      </c>
      <c r="AQ43" s="22">
        <f t="shared" si="36"/>
        <v>0</v>
      </c>
      <c r="AR43" s="22">
        <f t="shared" si="37"/>
        <v>0</v>
      </c>
      <c r="AS43" s="22">
        <f t="shared" si="38"/>
        <v>0</v>
      </c>
      <c r="AT43" s="22">
        <f t="shared" si="39"/>
        <v>0</v>
      </c>
      <c r="AU43" s="22">
        <f t="shared" si="40"/>
        <v>0</v>
      </c>
      <c r="AV43" s="22">
        <f t="shared" si="41"/>
        <v>0</v>
      </c>
      <c r="AW43" s="22">
        <f t="shared" si="42"/>
        <v>0</v>
      </c>
      <c r="AX43" s="22">
        <f t="shared" si="43"/>
        <v>0</v>
      </c>
      <c r="AY43" s="22">
        <f t="shared" si="44"/>
        <v>0</v>
      </c>
      <c r="AZ43" s="22">
        <f t="shared" si="45"/>
        <v>0</v>
      </c>
      <c r="BA43" s="22">
        <f t="shared" si="46"/>
        <v>0</v>
      </c>
      <c r="BB43" s="22">
        <f t="shared" si="47"/>
        <v>0</v>
      </c>
      <c r="BC43" s="22">
        <f t="shared" si="48"/>
        <v>0</v>
      </c>
      <c r="BD43" s="22">
        <f t="shared" si="49"/>
        <v>0</v>
      </c>
      <c r="BE43" s="22">
        <f t="shared" si="50"/>
        <v>0</v>
      </c>
      <c r="BF43" s="22">
        <f t="shared" si="51"/>
        <v>0</v>
      </c>
      <c r="BG43" s="22">
        <f t="shared" si="52"/>
        <v>0</v>
      </c>
      <c r="BH43" s="22">
        <f t="shared" si="53"/>
        <v>0</v>
      </c>
      <c r="BI43" s="22">
        <f t="shared" si="54"/>
        <v>0</v>
      </c>
      <c r="BJ43" s="19" t="s">
        <v>519</v>
      </c>
      <c r="BK43" s="23" t="s">
        <v>520</v>
      </c>
      <c r="BL43" s="43">
        <f t="shared" si="55"/>
        <v>0</v>
      </c>
      <c r="BM43" s="39">
        <f t="shared" si="56"/>
        <v>0</v>
      </c>
    </row>
    <row r="44" spans="1:65" ht="22.5">
      <c r="A44" s="10" t="s">
        <v>523</v>
      </c>
      <c r="B44" s="19" t="s">
        <v>524</v>
      </c>
      <c r="C44" s="66">
        <v>92</v>
      </c>
      <c r="D44" s="20" t="s">
        <v>525</v>
      </c>
      <c r="E44" s="42">
        <v>3640.66</v>
      </c>
      <c r="F44" s="21">
        <f t="shared" si="57"/>
        <v>364.06600000000003</v>
      </c>
      <c r="G44" s="21">
        <f t="shared" si="58"/>
        <v>69.172540000000012</v>
      </c>
      <c r="H44" s="21">
        <f t="shared" si="59"/>
        <v>4073.8985399999997</v>
      </c>
      <c r="J44" s="10">
        <f t="shared" si="3"/>
        <v>6</v>
      </c>
      <c r="K44" s="10"/>
      <c r="L44" s="10"/>
      <c r="M44" s="10"/>
      <c r="N44" s="242"/>
      <c r="O44" s="10"/>
      <c r="P44" s="10"/>
      <c r="Q44" s="10"/>
      <c r="R44" s="10"/>
      <c r="S44" s="10"/>
      <c r="T44" s="10"/>
      <c r="U44" s="10">
        <v>4</v>
      </c>
      <c r="V44" s="10"/>
      <c r="W44" s="10"/>
      <c r="X44" s="10"/>
      <c r="Y44" s="10"/>
      <c r="Z44" s="10"/>
      <c r="AA44" s="10"/>
      <c r="AB44" s="10"/>
      <c r="AC44" s="10"/>
      <c r="AD44" s="10"/>
      <c r="AE44" s="10"/>
      <c r="AF44" s="10"/>
      <c r="AG44" s="10"/>
      <c r="AH44" s="10"/>
      <c r="AI44" s="10">
        <v>2</v>
      </c>
      <c r="AK44" s="22">
        <f t="shared" si="30"/>
        <v>0</v>
      </c>
      <c r="AL44" s="22">
        <f t="shared" si="31"/>
        <v>0</v>
      </c>
      <c r="AM44" s="22">
        <f t="shared" si="32"/>
        <v>0</v>
      </c>
      <c r="AN44" s="22">
        <f t="shared" si="33"/>
        <v>0</v>
      </c>
      <c r="AO44" s="22">
        <f t="shared" si="34"/>
        <v>0</v>
      </c>
      <c r="AP44" s="22">
        <f t="shared" si="35"/>
        <v>0</v>
      </c>
      <c r="AQ44" s="22">
        <f t="shared" si="36"/>
        <v>0</v>
      </c>
      <c r="AR44" s="22">
        <f t="shared" si="37"/>
        <v>0</v>
      </c>
      <c r="AS44" s="22">
        <f t="shared" si="38"/>
        <v>0</v>
      </c>
      <c r="AT44" s="22">
        <f t="shared" si="39"/>
        <v>0</v>
      </c>
      <c r="AU44" s="22">
        <f t="shared" si="40"/>
        <v>16295.594159999999</v>
      </c>
      <c r="AV44" s="22">
        <f t="shared" si="41"/>
        <v>0</v>
      </c>
      <c r="AW44" s="22">
        <f t="shared" si="42"/>
        <v>0</v>
      </c>
      <c r="AX44" s="22">
        <f t="shared" si="43"/>
        <v>0</v>
      </c>
      <c r="AY44" s="22">
        <f t="shared" si="44"/>
        <v>0</v>
      </c>
      <c r="AZ44" s="22">
        <f t="shared" si="45"/>
        <v>0</v>
      </c>
      <c r="BA44" s="22">
        <f t="shared" si="46"/>
        <v>0</v>
      </c>
      <c r="BB44" s="22">
        <f t="shared" si="47"/>
        <v>0</v>
      </c>
      <c r="BC44" s="22">
        <f t="shared" si="48"/>
        <v>0</v>
      </c>
      <c r="BD44" s="22">
        <f t="shared" si="49"/>
        <v>0</v>
      </c>
      <c r="BE44" s="22">
        <f t="shared" si="50"/>
        <v>0</v>
      </c>
      <c r="BF44" s="22">
        <f t="shared" si="51"/>
        <v>0</v>
      </c>
      <c r="BG44" s="22">
        <f t="shared" si="52"/>
        <v>0</v>
      </c>
      <c r="BH44" s="22">
        <f t="shared" si="53"/>
        <v>0</v>
      </c>
      <c r="BI44" s="22">
        <f t="shared" si="54"/>
        <v>8147.7970799999994</v>
      </c>
      <c r="BJ44" s="19" t="s">
        <v>523</v>
      </c>
      <c r="BK44" s="19" t="s">
        <v>524</v>
      </c>
      <c r="BL44" s="43">
        <f t="shared" si="55"/>
        <v>24443.391239999997</v>
      </c>
      <c r="BM44" s="39">
        <f t="shared" si="56"/>
        <v>21843.96</v>
      </c>
    </row>
    <row r="45" spans="1:65" ht="34.5" customHeight="1">
      <c r="A45" s="10" t="s">
        <v>523</v>
      </c>
      <c r="B45" s="19" t="s">
        <v>524</v>
      </c>
      <c r="C45" s="66">
        <v>93</v>
      </c>
      <c r="D45" s="20" t="s">
        <v>526</v>
      </c>
      <c r="E45" s="42">
        <v>4473.55</v>
      </c>
      <c r="F45" s="21">
        <f t="shared" si="57"/>
        <v>447.35500000000002</v>
      </c>
      <c r="G45" s="21">
        <f t="shared" si="58"/>
        <v>84.997450000000001</v>
      </c>
      <c r="H45" s="21">
        <f t="shared" si="59"/>
        <v>5005.9024500000005</v>
      </c>
      <c r="J45" s="10">
        <f t="shared" si="3"/>
        <v>15</v>
      </c>
      <c r="K45" s="10"/>
      <c r="L45" s="10"/>
      <c r="M45" s="10"/>
      <c r="N45" s="242"/>
      <c r="O45" s="10"/>
      <c r="P45" s="10"/>
      <c r="Q45" s="10"/>
      <c r="R45" s="10"/>
      <c r="S45" s="10"/>
      <c r="T45" s="10">
        <v>8</v>
      </c>
      <c r="U45" s="10">
        <v>4</v>
      </c>
      <c r="V45" s="10"/>
      <c r="W45" s="10"/>
      <c r="X45" s="10"/>
      <c r="Y45" s="10"/>
      <c r="Z45" s="10"/>
      <c r="AA45" s="10"/>
      <c r="AB45" s="10"/>
      <c r="AC45" s="10"/>
      <c r="AD45" s="10">
        <v>2</v>
      </c>
      <c r="AE45" s="10">
        <v>1</v>
      </c>
      <c r="AF45" s="10"/>
      <c r="AG45" s="10"/>
      <c r="AH45" s="10"/>
      <c r="AI45" s="10"/>
      <c r="AK45" s="22">
        <f t="shared" si="30"/>
        <v>0</v>
      </c>
      <c r="AL45" s="22">
        <f t="shared" si="31"/>
        <v>0</v>
      </c>
      <c r="AM45" s="22">
        <f t="shared" si="32"/>
        <v>0</v>
      </c>
      <c r="AN45" s="22">
        <f t="shared" si="33"/>
        <v>0</v>
      </c>
      <c r="AO45" s="22">
        <f t="shared" si="34"/>
        <v>0</v>
      </c>
      <c r="AP45" s="22">
        <f t="shared" si="35"/>
        <v>0</v>
      </c>
      <c r="AQ45" s="22">
        <f t="shared" si="36"/>
        <v>0</v>
      </c>
      <c r="AR45" s="22">
        <f t="shared" si="37"/>
        <v>0</v>
      </c>
      <c r="AS45" s="22">
        <f t="shared" si="38"/>
        <v>0</v>
      </c>
      <c r="AT45" s="22">
        <f t="shared" si="39"/>
        <v>40047.219600000004</v>
      </c>
      <c r="AU45" s="22">
        <f t="shared" si="40"/>
        <v>20023.609800000002</v>
      </c>
      <c r="AV45" s="22">
        <f t="shared" si="41"/>
        <v>0</v>
      </c>
      <c r="AW45" s="22">
        <f t="shared" si="42"/>
        <v>0</v>
      </c>
      <c r="AX45" s="22">
        <f t="shared" si="43"/>
        <v>0</v>
      </c>
      <c r="AY45" s="22">
        <f t="shared" si="44"/>
        <v>0</v>
      </c>
      <c r="AZ45" s="22">
        <f t="shared" si="45"/>
        <v>0</v>
      </c>
      <c r="BA45" s="22">
        <f t="shared" si="46"/>
        <v>0</v>
      </c>
      <c r="BB45" s="22">
        <f t="shared" si="47"/>
        <v>0</v>
      </c>
      <c r="BC45" s="22">
        <f t="shared" si="48"/>
        <v>0</v>
      </c>
      <c r="BD45" s="22">
        <f t="shared" si="49"/>
        <v>10011.804900000001</v>
      </c>
      <c r="BE45" s="22">
        <f t="shared" si="50"/>
        <v>5005.9024500000005</v>
      </c>
      <c r="BF45" s="22">
        <f t="shared" si="51"/>
        <v>0</v>
      </c>
      <c r="BG45" s="22">
        <f t="shared" si="52"/>
        <v>0</v>
      </c>
      <c r="BH45" s="22">
        <f t="shared" si="53"/>
        <v>0</v>
      </c>
      <c r="BI45" s="22">
        <f t="shared" si="54"/>
        <v>0</v>
      </c>
      <c r="BJ45" s="19" t="s">
        <v>523</v>
      </c>
      <c r="BK45" s="19" t="s">
        <v>524</v>
      </c>
      <c r="BL45" s="43">
        <f t="shared" si="55"/>
        <v>75088.536750000014</v>
      </c>
      <c r="BM45" s="39">
        <f t="shared" si="56"/>
        <v>67103.25</v>
      </c>
    </row>
    <row r="46" spans="1:65" ht="34.5" customHeight="1">
      <c r="A46" s="10" t="s">
        <v>523</v>
      </c>
      <c r="B46" s="19" t="s">
        <v>524</v>
      </c>
      <c r="C46" s="66">
        <v>94</v>
      </c>
      <c r="D46" s="20" t="s">
        <v>527</v>
      </c>
      <c r="E46" s="42">
        <v>4615.92</v>
      </c>
      <c r="F46" s="21">
        <f t="shared" si="57"/>
        <v>461.59200000000004</v>
      </c>
      <c r="G46" s="21">
        <f t="shared" si="58"/>
        <v>87.702480000000008</v>
      </c>
      <c r="H46" s="21">
        <f t="shared" si="59"/>
        <v>5165.2144799999996</v>
      </c>
      <c r="J46" s="10">
        <f t="shared" si="3"/>
        <v>105</v>
      </c>
      <c r="K46" s="10">
        <v>20</v>
      </c>
      <c r="L46" s="242">
        <v>8</v>
      </c>
      <c r="M46" s="10"/>
      <c r="N46" s="242"/>
      <c r="O46" s="10">
        <v>15</v>
      </c>
      <c r="P46" s="10"/>
      <c r="Q46" s="10">
        <v>8</v>
      </c>
      <c r="R46" s="10"/>
      <c r="S46" s="10">
        <v>8</v>
      </c>
      <c r="T46" s="242">
        <v>8</v>
      </c>
      <c r="U46" s="10">
        <v>5</v>
      </c>
      <c r="V46" s="10"/>
      <c r="W46" s="10"/>
      <c r="X46" s="10"/>
      <c r="Y46" s="10">
        <v>4</v>
      </c>
      <c r="Z46" s="10">
        <v>8</v>
      </c>
      <c r="AA46" s="10">
        <v>4</v>
      </c>
      <c r="AB46" s="10">
        <v>5</v>
      </c>
      <c r="AC46" s="10"/>
      <c r="AD46" s="10">
        <v>2</v>
      </c>
      <c r="AE46" s="10">
        <v>1</v>
      </c>
      <c r="AF46" s="10"/>
      <c r="AG46" s="10">
        <v>4</v>
      </c>
      <c r="AH46" s="10">
        <v>5</v>
      </c>
      <c r="AI46" s="10"/>
      <c r="AK46" s="22">
        <f t="shared" si="30"/>
        <v>103304.28959999999</v>
      </c>
      <c r="AL46" s="22">
        <f t="shared" si="31"/>
        <v>41321.715839999997</v>
      </c>
      <c r="AM46" s="22">
        <f t="shared" si="32"/>
        <v>0</v>
      </c>
      <c r="AN46" s="22">
        <f t="shared" si="33"/>
        <v>0</v>
      </c>
      <c r="AO46" s="22">
        <f t="shared" si="34"/>
        <v>77478.217199999999</v>
      </c>
      <c r="AP46" s="22">
        <f t="shared" si="35"/>
        <v>0</v>
      </c>
      <c r="AQ46" s="22">
        <f t="shared" si="36"/>
        <v>41321.715839999997</v>
      </c>
      <c r="AR46" s="22">
        <f t="shared" si="37"/>
        <v>0</v>
      </c>
      <c r="AS46" s="22">
        <f t="shared" si="38"/>
        <v>41321.715839999997</v>
      </c>
      <c r="AT46" s="22">
        <f t="shared" si="39"/>
        <v>41321.715839999997</v>
      </c>
      <c r="AU46" s="22">
        <f t="shared" si="40"/>
        <v>25826.072399999997</v>
      </c>
      <c r="AV46" s="22">
        <f t="shared" si="41"/>
        <v>0</v>
      </c>
      <c r="AW46" s="22">
        <f t="shared" si="42"/>
        <v>0</v>
      </c>
      <c r="AX46" s="22">
        <f t="shared" si="43"/>
        <v>0</v>
      </c>
      <c r="AY46" s="22">
        <f t="shared" si="44"/>
        <v>20660.857919999999</v>
      </c>
      <c r="AZ46" s="22">
        <f t="shared" si="45"/>
        <v>41321.715839999997</v>
      </c>
      <c r="BA46" s="22">
        <f t="shared" si="46"/>
        <v>20660.857919999999</v>
      </c>
      <c r="BB46" s="22">
        <f t="shared" si="47"/>
        <v>25826.072399999997</v>
      </c>
      <c r="BC46" s="22">
        <f t="shared" si="48"/>
        <v>0</v>
      </c>
      <c r="BD46" s="22">
        <f t="shared" si="49"/>
        <v>10330.428959999999</v>
      </c>
      <c r="BE46" s="22">
        <f t="shared" si="50"/>
        <v>5165.2144799999996</v>
      </c>
      <c r="BF46" s="22">
        <f t="shared" si="51"/>
        <v>0</v>
      </c>
      <c r="BG46" s="22">
        <f t="shared" si="52"/>
        <v>20660.857919999999</v>
      </c>
      <c r="BH46" s="22">
        <f t="shared" si="53"/>
        <v>25826.072399999997</v>
      </c>
      <c r="BI46" s="22">
        <f t="shared" si="54"/>
        <v>0</v>
      </c>
      <c r="BJ46" s="19" t="s">
        <v>523</v>
      </c>
      <c r="BK46" s="19" t="s">
        <v>524</v>
      </c>
      <c r="BL46" s="43">
        <f t="shared" si="55"/>
        <v>542347.52039999992</v>
      </c>
      <c r="BM46" s="39">
        <f t="shared" si="56"/>
        <v>484671.60000000003</v>
      </c>
    </row>
    <row r="47" spans="1:65" ht="34.5" customHeight="1">
      <c r="A47" s="10" t="s">
        <v>516</v>
      </c>
      <c r="B47" s="10" t="s">
        <v>517</v>
      </c>
      <c r="C47" s="66">
        <v>96</v>
      </c>
      <c r="D47" s="20" t="s">
        <v>528</v>
      </c>
      <c r="E47" s="42">
        <v>2769.29</v>
      </c>
      <c r="F47" s="21">
        <f t="shared" si="57"/>
        <v>276.92900000000003</v>
      </c>
      <c r="G47" s="21">
        <f t="shared" si="58"/>
        <v>52.616510000000005</v>
      </c>
      <c r="H47" s="21">
        <f t="shared" si="59"/>
        <v>3098.8355099999999</v>
      </c>
      <c r="J47" s="10">
        <f t="shared" si="3"/>
        <v>34</v>
      </c>
      <c r="K47" s="10"/>
      <c r="L47" s="10"/>
      <c r="M47" s="10"/>
      <c r="N47" s="242"/>
      <c r="O47" s="10"/>
      <c r="P47" s="10"/>
      <c r="Q47" s="10"/>
      <c r="R47" s="10"/>
      <c r="S47" s="10">
        <v>4</v>
      </c>
      <c r="T47" s="10"/>
      <c r="U47" s="10">
        <v>10</v>
      </c>
      <c r="V47" s="10">
        <v>7</v>
      </c>
      <c r="W47" s="10"/>
      <c r="X47" s="10"/>
      <c r="Y47" s="10"/>
      <c r="Z47" s="10"/>
      <c r="AA47" s="10"/>
      <c r="AB47" s="10">
        <v>5</v>
      </c>
      <c r="AC47" s="10"/>
      <c r="AD47" s="10">
        <v>3</v>
      </c>
      <c r="AE47" s="10">
        <v>1</v>
      </c>
      <c r="AF47" s="10"/>
      <c r="AG47" s="10"/>
      <c r="AH47" s="10">
        <v>4</v>
      </c>
      <c r="AI47" s="10"/>
      <c r="AK47" s="22">
        <f t="shared" si="30"/>
        <v>0</v>
      </c>
      <c r="AL47" s="22">
        <f t="shared" si="31"/>
        <v>0</v>
      </c>
      <c r="AM47" s="22">
        <f t="shared" si="32"/>
        <v>0</v>
      </c>
      <c r="AN47" s="22">
        <f t="shared" si="33"/>
        <v>0</v>
      </c>
      <c r="AO47" s="22">
        <f t="shared" si="34"/>
        <v>0</v>
      </c>
      <c r="AP47" s="22">
        <f t="shared" si="35"/>
        <v>0</v>
      </c>
      <c r="AQ47" s="22">
        <f t="shared" si="36"/>
        <v>0</v>
      </c>
      <c r="AR47" s="22">
        <f t="shared" si="37"/>
        <v>0</v>
      </c>
      <c r="AS47" s="22">
        <f t="shared" si="38"/>
        <v>12395.34204</v>
      </c>
      <c r="AT47" s="22">
        <f t="shared" si="39"/>
        <v>0</v>
      </c>
      <c r="AU47" s="22">
        <f t="shared" si="40"/>
        <v>30988.355100000001</v>
      </c>
      <c r="AV47" s="22">
        <f t="shared" si="41"/>
        <v>21691.848569999998</v>
      </c>
      <c r="AW47" s="22">
        <f t="shared" si="42"/>
        <v>0</v>
      </c>
      <c r="AX47" s="22">
        <f t="shared" si="43"/>
        <v>0</v>
      </c>
      <c r="AY47" s="22">
        <f t="shared" si="44"/>
        <v>0</v>
      </c>
      <c r="AZ47" s="22">
        <f t="shared" si="45"/>
        <v>0</v>
      </c>
      <c r="BA47" s="22">
        <f t="shared" si="46"/>
        <v>0</v>
      </c>
      <c r="BB47" s="22">
        <f t="shared" si="47"/>
        <v>15494.17755</v>
      </c>
      <c r="BC47" s="22">
        <f t="shared" si="48"/>
        <v>0</v>
      </c>
      <c r="BD47" s="22">
        <f t="shared" si="49"/>
        <v>9296.5065299999987</v>
      </c>
      <c r="BE47" s="22">
        <f t="shared" si="50"/>
        <v>3098.8355099999999</v>
      </c>
      <c r="BF47" s="22">
        <f t="shared" si="51"/>
        <v>0</v>
      </c>
      <c r="BG47" s="22">
        <f t="shared" si="52"/>
        <v>0</v>
      </c>
      <c r="BH47" s="22">
        <f t="shared" si="53"/>
        <v>12395.34204</v>
      </c>
      <c r="BI47" s="22">
        <f t="shared" si="54"/>
        <v>0</v>
      </c>
      <c r="BJ47" s="19" t="s">
        <v>516</v>
      </c>
      <c r="BK47" s="19" t="s">
        <v>517</v>
      </c>
      <c r="BL47" s="43">
        <f t="shared" si="55"/>
        <v>105360.40733999999</v>
      </c>
      <c r="BM47" s="39">
        <f t="shared" si="56"/>
        <v>94155.86</v>
      </c>
    </row>
    <row r="48" spans="1:65" ht="22.5">
      <c r="A48" s="10" t="s">
        <v>519</v>
      </c>
      <c r="B48" s="23" t="s">
        <v>520</v>
      </c>
      <c r="C48" s="66">
        <v>98</v>
      </c>
      <c r="D48" s="20" t="s">
        <v>529</v>
      </c>
      <c r="E48" s="42">
        <v>2409.96</v>
      </c>
      <c r="F48" s="21">
        <f t="shared" si="57"/>
        <v>240.99600000000001</v>
      </c>
      <c r="G48" s="21">
        <f t="shared" si="58"/>
        <v>45.789239999999999</v>
      </c>
      <c r="H48" s="21">
        <f t="shared" si="59"/>
        <v>2696.7452400000002</v>
      </c>
      <c r="J48" s="10">
        <f t="shared" si="3"/>
        <v>12</v>
      </c>
      <c r="K48" s="10"/>
      <c r="L48" s="10"/>
      <c r="M48" s="10"/>
      <c r="N48" s="242"/>
      <c r="O48" s="10">
        <v>5</v>
      </c>
      <c r="P48" s="10"/>
      <c r="Q48" s="10"/>
      <c r="R48" s="10"/>
      <c r="S48" s="10"/>
      <c r="T48" s="10"/>
      <c r="U48" s="10"/>
      <c r="V48" s="10">
        <v>2</v>
      </c>
      <c r="W48" s="10"/>
      <c r="X48" s="10"/>
      <c r="Y48" s="10"/>
      <c r="Z48" s="10">
        <v>5</v>
      </c>
      <c r="AA48" s="10"/>
      <c r="AB48" s="10"/>
      <c r="AC48" s="10"/>
      <c r="AD48" s="10"/>
      <c r="AE48" s="10"/>
      <c r="AF48" s="10"/>
      <c r="AG48" s="10"/>
      <c r="AH48" s="10"/>
      <c r="AI48" s="10"/>
      <c r="AK48" s="22">
        <f t="shared" si="30"/>
        <v>0</v>
      </c>
      <c r="AL48" s="22">
        <f t="shared" si="31"/>
        <v>0</v>
      </c>
      <c r="AM48" s="22">
        <f t="shared" si="32"/>
        <v>0</v>
      </c>
      <c r="AN48" s="22">
        <f t="shared" si="33"/>
        <v>0</v>
      </c>
      <c r="AO48" s="22">
        <f t="shared" si="34"/>
        <v>13483.726200000001</v>
      </c>
      <c r="AP48" s="22">
        <f t="shared" si="35"/>
        <v>0</v>
      </c>
      <c r="AQ48" s="22">
        <f t="shared" si="36"/>
        <v>0</v>
      </c>
      <c r="AR48" s="22">
        <f t="shared" si="37"/>
        <v>0</v>
      </c>
      <c r="AS48" s="22">
        <f t="shared" si="38"/>
        <v>0</v>
      </c>
      <c r="AT48" s="22">
        <f t="shared" si="39"/>
        <v>0</v>
      </c>
      <c r="AU48" s="22">
        <f t="shared" si="40"/>
        <v>0</v>
      </c>
      <c r="AV48" s="22">
        <f t="shared" si="41"/>
        <v>5393.4904800000004</v>
      </c>
      <c r="AW48" s="22">
        <f t="shared" si="42"/>
        <v>0</v>
      </c>
      <c r="AX48" s="22">
        <f t="shared" si="43"/>
        <v>0</v>
      </c>
      <c r="AY48" s="22">
        <f t="shared" si="44"/>
        <v>0</v>
      </c>
      <c r="AZ48" s="22">
        <f t="shared" si="45"/>
        <v>13483.726200000001</v>
      </c>
      <c r="BA48" s="22">
        <f t="shared" si="46"/>
        <v>0</v>
      </c>
      <c r="BB48" s="22">
        <f t="shared" si="47"/>
        <v>0</v>
      </c>
      <c r="BC48" s="22">
        <f t="shared" si="48"/>
        <v>0</v>
      </c>
      <c r="BD48" s="22">
        <f t="shared" si="49"/>
        <v>0</v>
      </c>
      <c r="BE48" s="22">
        <f t="shared" si="50"/>
        <v>0</v>
      </c>
      <c r="BF48" s="22">
        <f t="shared" si="51"/>
        <v>0</v>
      </c>
      <c r="BG48" s="22">
        <f t="shared" si="52"/>
        <v>0</v>
      </c>
      <c r="BH48" s="22">
        <f t="shared" si="53"/>
        <v>0</v>
      </c>
      <c r="BI48" s="22">
        <f t="shared" si="54"/>
        <v>0</v>
      </c>
      <c r="BJ48" s="19" t="s">
        <v>519</v>
      </c>
      <c r="BK48" s="23" t="s">
        <v>520</v>
      </c>
      <c r="BL48" s="43">
        <f t="shared" si="55"/>
        <v>32360.942880000002</v>
      </c>
      <c r="BM48" s="39">
        <f t="shared" si="56"/>
        <v>28919.52</v>
      </c>
    </row>
    <row r="49" spans="1:65" ht="22.5">
      <c r="A49" s="10" t="s">
        <v>490</v>
      </c>
      <c r="B49" s="24" t="s">
        <v>491</v>
      </c>
      <c r="C49" s="66">
        <v>99</v>
      </c>
      <c r="D49" s="20" t="s">
        <v>530</v>
      </c>
      <c r="E49" s="42">
        <v>10246.370000000001</v>
      </c>
      <c r="F49" s="21">
        <f t="shared" si="57"/>
        <v>1024.6370000000002</v>
      </c>
      <c r="G49" s="21">
        <f t="shared" si="58"/>
        <v>194.68103000000002</v>
      </c>
      <c r="H49" s="21">
        <f t="shared" si="59"/>
        <v>11465.688030000001</v>
      </c>
      <c r="J49" s="10">
        <f t="shared" si="3"/>
        <v>47</v>
      </c>
      <c r="K49" s="10">
        <v>20</v>
      </c>
      <c r="L49" s="242">
        <v>5</v>
      </c>
      <c r="M49" s="10"/>
      <c r="N49" s="242"/>
      <c r="O49" s="10">
        <v>5</v>
      </c>
      <c r="P49" s="10"/>
      <c r="Q49" s="10">
        <v>5</v>
      </c>
      <c r="R49" s="10"/>
      <c r="S49" s="10">
        <v>2</v>
      </c>
      <c r="T49" s="10"/>
      <c r="U49" s="10"/>
      <c r="V49" s="10"/>
      <c r="W49" s="10"/>
      <c r="X49" s="10"/>
      <c r="Y49" s="10">
        <v>5</v>
      </c>
      <c r="Z49" s="10"/>
      <c r="AA49" s="10">
        <v>5</v>
      </c>
      <c r="AB49" s="10"/>
      <c r="AC49" s="10"/>
      <c r="AD49" s="10"/>
      <c r="AE49" s="10"/>
      <c r="AF49" s="10"/>
      <c r="AG49" s="10"/>
      <c r="AH49" s="10"/>
      <c r="AI49" s="10"/>
      <c r="AK49" s="22">
        <f t="shared" si="30"/>
        <v>229313.76060000004</v>
      </c>
      <c r="AL49" s="22">
        <f t="shared" si="31"/>
        <v>57328.440150000009</v>
      </c>
      <c r="AM49" s="22">
        <f t="shared" si="32"/>
        <v>0</v>
      </c>
      <c r="AN49" s="22">
        <f t="shared" si="33"/>
        <v>0</v>
      </c>
      <c r="AO49" s="22">
        <f t="shared" si="34"/>
        <v>57328.440150000009</v>
      </c>
      <c r="AP49" s="22">
        <f t="shared" si="35"/>
        <v>0</v>
      </c>
      <c r="AQ49" s="22">
        <f t="shared" si="36"/>
        <v>57328.440150000009</v>
      </c>
      <c r="AR49" s="22">
        <f t="shared" si="37"/>
        <v>0</v>
      </c>
      <c r="AS49" s="22">
        <f t="shared" si="38"/>
        <v>22931.376060000002</v>
      </c>
      <c r="AT49" s="22">
        <f t="shared" si="39"/>
        <v>0</v>
      </c>
      <c r="AU49" s="22">
        <f t="shared" si="40"/>
        <v>0</v>
      </c>
      <c r="AV49" s="22">
        <f t="shared" si="41"/>
        <v>0</v>
      </c>
      <c r="AW49" s="22">
        <f t="shared" si="42"/>
        <v>0</v>
      </c>
      <c r="AX49" s="22">
        <f t="shared" si="43"/>
        <v>0</v>
      </c>
      <c r="AY49" s="22">
        <f t="shared" si="44"/>
        <v>57328.440150000009</v>
      </c>
      <c r="AZ49" s="22">
        <f t="shared" si="45"/>
        <v>0</v>
      </c>
      <c r="BA49" s="22">
        <f t="shared" si="46"/>
        <v>57328.440150000009</v>
      </c>
      <c r="BB49" s="22">
        <f t="shared" si="47"/>
        <v>0</v>
      </c>
      <c r="BC49" s="22">
        <f t="shared" si="48"/>
        <v>0</v>
      </c>
      <c r="BD49" s="22">
        <f t="shared" si="49"/>
        <v>0</v>
      </c>
      <c r="BE49" s="22">
        <f t="shared" si="50"/>
        <v>0</v>
      </c>
      <c r="BF49" s="22">
        <f t="shared" si="51"/>
        <v>0</v>
      </c>
      <c r="BG49" s="22">
        <f t="shared" si="52"/>
        <v>0</v>
      </c>
      <c r="BH49" s="22">
        <f t="shared" si="53"/>
        <v>0</v>
      </c>
      <c r="BI49" s="22">
        <f t="shared" si="54"/>
        <v>0</v>
      </c>
      <c r="BJ49" s="19" t="s">
        <v>490</v>
      </c>
      <c r="BK49" s="25" t="s">
        <v>491</v>
      </c>
      <c r="BL49" s="43">
        <f t="shared" si="55"/>
        <v>538887.33741000004</v>
      </c>
      <c r="BM49" s="39">
        <f t="shared" si="56"/>
        <v>481579.39</v>
      </c>
    </row>
    <row r="50" spans="1:65" ht="22.5">
      <c r="A50" s="10" t="s">
        <v>490</v>
      </c>
      <c r="B50" s="24" t="s">
        <v>491</v>
      </c>
      <c r="C50" s="66">
        <v>100</v>
      </c>
      <c r="D50" s="20" t="s">
        <v>531</v>
      </c>
      <c r="E50" s="42">
        <v>10246.370000000001</v>
      </c>
      <c r="F50" s="21">
        <f t="shared" si="57"/>
        <v>1024.6370000000002</v>
      </c>
      <c r="G50" s="21">
        <f t="shared" si="58"/>
        <v>194.68103000000002</v>
      </c>
      <c r="H50" s="21">
        <f t="shared" si="59"/>
        <v>11465.688030000001</v>
      </c>
      <c r="J50" s="10">
        <f t="shared" si="3"/>
        <v>27</v>
      </c>
      <c r="K50" s="10"/>
      <c r="L50" s="242">
        <v>5</v>
      </c>
      <c r="M50" s="10"/>
      <c r="N50" s="242"/>
      <c r="O50" s="10">
        <v>5</v>
      </c>
      <c r="P50" s="10"/>
      <c r="Q50" s="10">
        <v>5</v>
      </c>
      <c r="R50" s="10"/>
      <c r="S50" s="10">
        <v>2</v>
      </c>
      <c r="T50" s="10"/>
      <c r="U50" s="10"/>
      <c r="V50" s="10"/>
      <c r="W50" s="10"/>
      <c r="X50" s="10"/>
      <c r="Y50" s="10">
        <v>5</v>
      </c>
      <c r="Z50" s="10"/>
      <c r="AA50" s="10">
        <v>5</v>
      </c>
      <c r="AB50" s="10"/>
      <c r="AC50" s="10"/>
      <c r="AD50" s="10"/>
      <c r="AE50" s="10"/>
      <c r="AF50" s="10"/>
      <c r="AG50" s="10"/>
      <c r="AH50" s="10"/>
      <c r="AI50" s="10"/>
      <c r="AK50" s="22">
        <f t="shared" si="30"/>
        <v>0</v>
      </c>
      <c r="AL50" s="22">
        <f t="shared" si="31"/>
        <v>57328.440150000009</v>
      </c>
      <c r="AM50" s="22">
        <f t="shared" si="32"/>
        <v>0</v>
      </c>
      <c r="AN50" s="22">
        <f t="shared" si="33"/>
        <v>0</v>
      </c>
      <c r="AO50" s="22">
        <f t="shared" si="34"/>
        <v>57328.440150000009</v>
      </c>
      <c r="AP50" s="22">
        <f t="shared" si="35"/>
        <v>0</v>
      </c>
      <c r="AQ50" s="22">
        <f t="shared" si="36"/>
        <v>57328.440150000009</v>
      </c>
      <c r="AR50" s="22">
        <f t="shared" si="37"/>
        <v>0</v>
      </c>
      <c r="AS50" s="22">
        <f t="shared" si="38"/>
        <v>22931.376060000002</v>
      </c>
      <c r="AT50" s="22">
        <f t="shared" si="39"/>
        <v>0</v>
      </c>
      <c r="AU50" s="22">
        <f t="shared" si="40"/>
        <v>0</v>
      </c>
      <c r="AV50" s="22">
        <f t="shared" si="41"/>
        <v>0</v>
      </c>
      <c r="AW50" s="22">
        <f t="shared" si="42"/>
        <v>0</v>
      </c>
      <c r="AX50" s="22">
        <f t="shared" si="43"/>
        <v>0</v>
      </c>
      <c r="AY50" s="22">
        <f t="shared" si="44"/>
        <v>57328.440150000009</v>
      </c>
      <c r="AZ50" s="22">
        <f t="shared" si="45"/>
        <v>0</v>
      </c>
      <c r="BA50" s="22">
        <f t="shared" si="46"/>
        <v>57328.440150000009</v>
      </c>
      <c r="BB50" s="22">
        <f t="shared" si="47"/>
        <v>0</v>
      </c>
      <c r="BC50" s="22">
        <f t="shared" si="48"/>
        <v>0</v>
      </c>
      <c r="BD50" s="22">
        <f t="shared" si="49"/>
        <v>0</v>
      </c>
      <c r="BE50" s="22">
        <f t="shared" si="50"/>
        <v>0</v>
      </c>
      <c r="BF50" s="22">
        <f t="shared" si="51"/>
        <v>0</v>
      </c>
      <c r="BG50" s="22">
        <f t="shared" si="52"/>
        <v>0</v>
      </c>
      <c r="BH50" s="22">
        <f t="shared" si="53"/>
        <v>0</v>
      </c>
      <c r="BI50" s="22">
        <f t="shared" si="54"/>
        <v>0</v>
      </c>
      <c r="BJ50" s="19" t="s">
        <v>490</v>
      </c>
      <c r="BK50" s="25" t="s">
        <v>491</v>
      </c>
      <c r="BL50" s="43">
        <f t="shared" si="55"/>
        <v>309573.57681000006</v>
      </c>
      <c r="BM50" s="39">
        <f t="shared" si="56"/>
        <v>276651.99000000005</v>
      </c>
    </row>
    <row r="51" spans="1:65" ht="22.5">
      <c r="A51" s="10" t="s">
        <v>490</v>
      </c>
      <c r="B51" s="24" t="s">
        <v>491</v>
      </c>
      <c r="C51" s="66">
        <v>101</v>
      </c>
      <c r="D51" s="20" t="s">
        <v>532</v>
      </c>
      <c r="E51" s="42">
        <v>13434.85</v>
      </c>
      <c r="F51" s="21">
        <f t="shared" si="57"/>
        <v>1343.4850000000001</v>
      </c>
      <c r="G51" s="21">
        <f t="shared" si="58"/>
        <v>255.26215000000002</v>
      </c>
      <c r="H51" s="21">
        <f t="shared" si="59"/>
        <v>15033.597150000001</v>
      </c>
      <c r="J51" s="10">
        <f t="shared" si="3"/>
        <v>5</v>
      </c>
      <c r="K51" s="6"/>
      <c r="L51" s="6"/>
      <c r="M51" s="6"/>
      <c r="N51" s="243"/>
      <c r="O51" s="6"/>
      <c r="P51" s="6"/>
      <c r="Q51" s="6"/>
      <c r="R51" s="6"/>
      <c r="S51" s="6"/>
      <c r="T51" s="6"/>
      <c r="U51" s="6"/>
      <c r="V51" s="6"/>
      <c r="W51" s="6"/>
      <c r="X51" s="6">
        <v>5</v>
      </c>
      <c r="Y51" s="6"/>
      <c r="Z51" s="6"/>
      <c r="AA51" s="6"/>
      <c r="AB51" s="6"/>
      <c r="AC51" s="6"/>
      <c r="AD51" s="6"/>
      <c r="AE51" s="6"/>
      <c r="AF51" s="6"/>
      <c r="AG51" s="6"/>
      <c r="AH51" s="6"/>
      <c r="AI51" s="6"/>
      <c r="AK51" s="22">
        <f t="shared" si="30"/>
        <v>0</v>
      </c>
      <c r="AL51" s="22">
        <f t="shared" si="31"/>
        <v>0</v>
      </c>
      <c r="AM51" s="22">
        <f t="shared" si="32"/>
        <v>0</v>
      </c>
      <c r="AN51" s="22">
        <f t="shared" si="33"/>
        <v>0</v>
      </c>
      <c r="AO51" s="22">
        <f t="shared" si="34"/>
        <v>0</v>
      </c>
      <c r="AP51" s="22">
        <f t="shared" si="35"/>
        <v>0</v>
      </c>
      <c r="AQ51" s="22">
        <f t="shared" si="36"/>
        <v>0</v>
      </c>
      <c r="AR51" s="22">
        <f t="shared" si="37"/>
        <v>0</v>
      </c>
      <c r="AS51" s="22">
        <f t="shared" si="38"/>
        <v>0</v>
      </c>
      <c r="AT51" s="22">
        <f t="shared" si="39"/>
        <v>0</v>
      </c>
      <c r="AU51" s="22">
        <f t="shared" si="40"/>
        <v>0</v>
      </c>
      <c r="AV51" s="22">
        <f t="shared" si="41"/>
        <v>0</v>
      </c>
      <c r="AW51" s="22">
        <f t="shared" si="42"/>
        <v>0</v>
      </c>
      <c r="AX51" s="22">
        <f t="shared" si="43"/>
        <v>75167.985750000007</v>
      </c>
      <c r="AY51" s="22">
        <f t="shared" si="44"/>
        <v>0</v>
      </c>
      <c r="AZ51" s="22">
        <f t="shared" si="45"/>
        <v>0</v>
      </c>
      <c r="BA51" s="22">
        <f t="shared" si="46"/>
        <v>0</v>
      </c>
      <c r="BB51" s="22">
        <f t="shared" si="47"/>
        <v>0</v>
      </c>
      <c r="BC51" s="22">
        <f t="shared" si="48"/>
        <v>0</v>
      </c>
      <c r="BD51" s="22">
        <f t="shared" si="49"/>
        <v>0</v>
      </c>
      <c r="BE51" s="22">
        <f t="shared" si="50"/>
        <v>0</v>
      </c>
      <c r="BF51" s="22">
        <f t="shared" si="51"/>
        <v>0</v>
      </c>
      <c r="BG51" s="22">
        <f t="shared" si="52"/>
        <v>0</v>
      </c>
      <c r="BH51" s="22">
        <f t="shared" si="53"/>
        <v>0</v>
      </c>
      <c r="BI51" s="22">
        <f t="shared" si="54"/>
        <v>0</v>
      </c>
      <c r="BJ51" s="19" t="s">
        <v>490</v>
      </c>
      <c r="BK51" s="25" t="s">
        <v>491</v>
      </c>
      <c r="BL51" s="43">
        <f t="shared" si="55"/>
        <v>75167.985750000007</v>
      </c>
      <c r="BM51" s="39">
        <f t="shared" si="56"/>
        <v>67174.25</v>
      </c>
    </row>
    <row r="52" spans="1:65" ht="22.5">
      <c r="A52" s="10" t="s">
        <v>490</v>
      </c>
      <c r="B52" s="24" t="s">
        <v>491</v>
      </c>
      <c r="C52" s="66">
        <v>102</v>
      </c>
      <c r="D52" s="20" t="s">
        <v>533</v>
      </c>
      <c r="E52" s="42">
        <v>13434.85</v>
      </c>
      <c r="F52" s="21">
        <f t="shared" si="57"/>
        <v>1343.4850000000001</v>
      </c>
      <c r="G52" s="21">
        <f t="shared" si="58"/>
        <v>255.26215000000002</v>
      </c>
      <c r="H52" s="21">
        <f t="shared" si="59"/>
        <v>15033.597150000001</v>
      </c>
      <c r="J52" s="10">
        <f t="shared" si="3"/>
        <v>8</v>
      </c>
      <c r="K52" s="10">
        <v>2</v>
      </c>
      <c r="L52" s="10"/>
      <c r="M52" s="10"/>
      <c r="N52" s="242"/>
      <c r="O52" s="10"/>
      <c r="P52" s="10"/>
      <c r="Q52" s="10"/>
      <c r="R52" s="10"/>
      <c r="S52" s="10"/>
      <c r="T52" s="10"/>
      <c r="U52" s="10"/>
      <c r="V52" s="10"/>
      <c r="W52" s="10"/>
      <c r="X52" s="10">
        <v>1</v>
      </c>
      <c r="Y52" s="10"/>
      <c r="Z52" s="10"/>
      <c r="AA52" s="10"/>
      <c r="AB52" s="10">
        <v>5</v>
      </c>
      <c r="AC52" s="10"/>
      <c r="AD52" s="10"/>
      <c r="AE52" s="10"/>
      <c r="AF52" s="10"/>
      <c r="AG52" s="10"/>
      <c r="AH52" s="10"/>
      <c r="AI52" s="10"/>
      <c r="AK52" s="22">
        <f t="shared" si="30"/>
        <v>30067.194300000003</v>
      </c>
      <c r="AL52" s="22">
        <f t="shared" si="31"/>
        <v>0</v>
      </c>
      <c r="AM52" s="22">
        <f t="shared" si="32"/>
        <v>0</v>
      </c>
      <c r="AN52" s="22">
        <f t="shared" si="33"/>
        <v>0</v>
      </c>
      <c r="AO52" s="22">
        <f t="shared" si="34"/>
        <v>0</v>
      </c>
      <c r="AP52" s="22">
        <f t="shared" si="35"/>
        <v>0</v>
      </c>
      <c r="AQ52" s="22">
        <f t="shared" si="36"/>
        <v>0</v>
      </c>
      <c r="AR52" s="22">
        <f t="shared" si="37"/>
        <v>0</v>
      </c>
      <c r="AS52" s="22">
        <f t="shared" si="38"/>
        <v>0</v>
      </c>
      <c r="AT52" s="22">
        <f t="shared" si="39"/>
        <v>0</v>
      </c>
      <c r="AU52" s="22">
        <f t="shared" si="40"/>
        <v>0</v>
      </c>
      <c r="AV52" s="22">
        <f t="shared" si="41"/>
        <v>0</v>
      </c>
      <c r="AW52" s="22">
        <f t="shared" si="42"/>
        <v>0</v>
      </c>
      <c r="AX52" s="22">
        <f t="shared" si="43"/>
        <v>15033.597150000001</v>
      </c>
      <c r="AY52" s="22">
        <f t="shared" si="44"/>
        <v>0</v>
      </c>
      <c r="AZ52" s="22">
        <f t="shared" si="45"/>
        <v>0</v>
      </c>
      <c r="BA52" s="22">
        <f t="shared" si="46"/>
        <v>0</v>
      </c>
      <c r="BB52" s="22">
        <f t="shared" si="47"/>
        <v>75167.985750000007</v>
      </c>
      <c r="BC52" s="22">
        <f t="shared" si="48"/>
        <v>0</v>
      </c>
      <c r="BD52" s="22">
        <f t="shared" si="49"/>
        <v>0</v>
      </c>
      <c r="BE52" s="22">
        <f t="shared" si="50"/>
        <v>0</v>
      </c>
      <c r="BF52" s="22">
        <f t="shared" si="51"/>
        <v>0</v>
      </c>
      <c r="BG52" s="22">
        <f t="shared" si="52"/>
        <v>0</v>
      </c>
      <c r="BH52" s="22">
        <f t="shared" si="53"/>
        <v>0</v>
      </c>
      <c r="BI52" s="22">
        <f t="shared" si="54"/>
        <v>0</v>
      </c>
      <c r="BJ52" s="19" t="s">
        <v>490</v>
      </c>
      <c r="BK52" s="25" t="s">
        <v>491</v>
      </c>
      <c r="BL52" s="43">
        <f t="shared" si="55"/>
        <v>120268.77720000001</v>
      </c>
      <c r="BM52" s="39">
        <f t="shared" si="56"/>
        <v>107478.8</v>
      </c>
    </row>
    <row r="53" spans="1:65" ht="22.5">
      <c r="A53" s="10" t="s">
        <v>490</v>
      </c>
      <c r="B53" s="24" t="s">
        <v>491</v>
      </c>
      <c r="C53" s="66">
        <v>105</v>
      </c>
      <c r="D53" s="20" t="s">
        <v>534</v>
      </c>
      <c r="E53" s="42">
        <v>652.28</v>
      </c>
      <c r="F53" s="21">
        <f t="shared" si="57"/>
        <v>65.227999999999994</v>
      </c>
      <c r="G53" s="21">
        <f t="shared" si="58"/>
        <v>12.393319999999999</v>
      </c>
      <c r="H53" s="21">
        <f t="shared" si="59"/>
        <v>729.90131999999994</v>
      </c>
      <c r="J53" s="10">
        <f t="shared" si="3"/>
        <v>10</v>
      </c>
      <c r="K53" s="10">
        <v>5</v>
      </c>
      <c r="L53" s="10"/>
      <c r="M53" s="10"/>
      <c r="N53" s="242"/>
      <c r="O53" s="10"/>
      <c r="P53" s="10"/>
      <c r="Q53" s="10"/>
      <c r="R53" s="10"/>
      <c r="S53" s="10"/>
      <c r="T53" s="10"/>
      <c r="U53" s="10"/>
      <c r="V53" s="10"/>
      <c r="W53" s="10"/>
      <c r="X53" s="10"/>
      <c r="Y53" s="10"/>
      <c r="Z53" s="10"/>
      <c r="AA53" s="10"/>
      <c r="AB53" s="10">
        <v>5</v>
      </c>
      <c r="AC53" s="10"/>
      <c r="AD53" s="10"/>
      <c r="AE53" s="10"/>
      <c r="AF53" s="10"/>
      <c r="AG53" s="10"/>
      <c r="AH53" s="10"/>
      <c r="AI53" s="10"/>
      <c r="AK53" s="22">
        <f t="shared" si="30"/>
        <v>3649.5065999999997</v>
      </c>
      <c r="AL53" s="22">
        <f t="shared" si="31"/>
        <v>0</v>
      </c>
      <c r="AM53" s="22">
        <f t="shared" si="32"/>
        <v>0</v>
      </c>
      <c r="AN53" s="22">
        <f t="shared" si="33"/>
        <v>0</v>
      </c>
      <c r="AO53" s="22">
        <f t="shared" si="34"/>
        <v>0</v>
      </c>
      <c r="AP53" s="22">
        <f t="shared" si="35"/>
        <v>0</v>
      </c>
      <c r="AQ53" s="22">
        <f t="shared" si="36"/>
        <v>0</v>
      </c>
      <c r="AR53" s="22">
        <f t="shared" si="37"/>
        <v>0</v>
      </c>
      <c r="AS53" s="22">
        <f t="shared" si="38"/>
        <v>0</v>
      </c>
      <c r="AT53" s="22">
        <f t="shared" si="39"/>
        <v>0</v>
      </c>
      <c r="AU53" s="22">
        <f t="shared" si="40"/>
        <v>0</v>
      </c>
      <c r="AV53" s="22">
        <f t="shared" si="41"/>
        <v>0</v>
      </c>
      <c r="AW53" s="22">
        <f t="shared" si="42"/>
        <v>0</v>
      </c>
      <c r="AX53" s="22">
        <f t="shared" si="43"/>
        <v>0</v>
      </c>
      <c r="AY53" s="22">
        <f t="shared" si="44"/>
        <v>0</v>
      </c>
      <c r="AZ53" s="22">
        <f t="shared" si="45"/>
        <v>0</v>
      </c>
      <c r="BA53" s="22">
        <f t="shared" si="46"/>
        <v>0</v>
      </c>
      <c r="BB53" s="22">
        <f t="shared" si="47"/>
        <v>3649.5065999999997</v>
      </c>
      <c r="BC53" s="22">
        <f t="shared" si="48"/>
        <v>0</v>
      </c>
      <c r="BD53" s="22">
        <f t="shared" si="49"/>
        <v>0</v>
      </c>
      <c r="BE53" s="22">
        <f t="shared" si="50"/>
        <v>0</v>
      </c>
      <c r="BF53" s="22">
        <f t="shared" si="51"/>
        <v>0</v>
      </c>
      <c r="BG53" s="22">
        <f t="shared" si="52"/>
        <v>0</v>
      </c>
      <c r="BH53" s="22">
        <f t="shared" si="53"/>
        <v>0</v>
      </c>
      <c r="BI53" s="22">
        <f t="shared" si="54"/>
        <v>0</v>
      </c>
      <c r="BJ53" s="19" t="s">
        <v>490</v>
      </c>
      <c r="BK53" s="25" t="s">
        <v>491</v>
      </c>
      <c r="BL53" s="43">
        <f t="shared" si="55"/>
        <v>7299.0131999999994</v>
      </c>
      <c r="BM53" s="39">
        <f t="shared" si="56"/>
        <v>6522.7999999999993</v>
      </c>
    </row>
    <row r="54" spans="1:65" ht="34.5" customHeight="1">
      <c r="A54" s="10" t="s">
        <v>535</v>
      </c>
      <c r="B54" s="23" t="s">
        <v>536</v>
      </c>
      <c r="C54" s="66">
        <v>106</v>
      </c>
      <c r="D54" s="20" t="s">
        <v>537</v>
      </c>
      <c r="E54" s="42">
        <v>464.47</v>
      </c>
      <c r="F54" s="21">
        <f t="shared" si="57"/>
        <v>46.447000000000003</v>
      </c>
      <c r="G54" s="21">
        <f t="shared" si="58"/>
        <v>8.8249300000000002</v>
      </c>
      <c r="H54" s="21">
        <f t="shared" si="59"/>
        <v>519.74193000000002</v>
      </c>
      <c r="J54" s="10">
        <f t="shared" si="3"/>
        <v>355</v>
      </c>
      <c r="K54" s="10">
        <v>50</v>
      </c>
      <c r="L54" s="242">
        <v>15</v>
      </c>
      <c r="M54" s="10"/>
      <c r="N54" s="242"/>
      <c r="O54" s="10">
        <v>112</v>
      </c>
      <c r="P54" s="10"/>
      <c r="Q54" s="10">
        <v>15</v>
      </c>
      <c r="R54" s="10">
        <v>10</v>
      </c>
      <c r="S54" s="10">
        <v>15</v>
      </c>
      <c r="T54" s="10"/>
      <c r="U54" s="10">
        <v>15</v>
      </c>
      <c r="V54" s="10"/>
      <c r="W54" s="10">
        <v>10</v>
      </c>
      <c r="X54" s="10">
        <v>5</v>
      </c>
      <c r="Y54" s="10">
        <v>10</v>
      </c>
      <c r="Z54" s="10">
        <v>15</v>
      </c>
      <c r="AA54" s="10">
        <v>10</v>
      </c>
      <c r="AB54" s="10">
        <v>15</v>
      </c>
      <c r="AC54" s="10">
        <v>15</v>
      </c>
      <c r="AD54" s="10">
        <v>10</v>
      </c>
      <c r="AE54" s="10">
        <v>10</v>
      </c>
      <c r="AF54" s="10"/>
      <c r="AG54" s="10">
        <v>20</v>
      </c>
      <c r="AH54" s="10"/>
      <c r="AI54" s="10">
        <v>3</v>
      </c>
      <c r="AK54" s="22">
        <f t="shared" si="30"/>
        <v>25987.0965</v>
      </c>
      <c r="AL54" s="22">
        <f t="shared" si="31"/>
        <v>7796.1289500000003</v>
      </c>
      <c r="AM54" s="22">
        <f t="shared" si="32"/>
        <v>0</v>
      </c>
      <c r="AN54" s="22">
        <f t="shared" si="33"/>
        <v>0</v>
      </c>
      <c r="AO54" s="22">
        <f t="shared" si="34"/>
        <v>58211.096160000001</v>
      </c>
      <c r="AP54" s="22">
        <f t="shared" si="35"/>
        <v>0</v>
      </c>
      <c r="AQ54" s="22">
        <f t="shared" si="36"/>
        <v>7796.1289500000003</v>
      </c>
      <c r="AR54" s="22">
        <f t="shared" si="37"/>
        <v>5197.4193000000005</v>
      </c>
      <c r="AS54" s="22">
        <f t="shared" si="38"/>
        <v>7796.1289500000003</v>
      </c>
      <c r="AT54" s="22">
        <f t="shared" si="39"/>
        <v>0</v>
      </c>
      <c r="AU54" s="22">
        <f t="shared" si="40"/>
        <v>7796.1289500000003</v>
      </c>
      <c r="AV54" s="22">
        <f t="shared" si="41"/>
        <v>0</v>
      </c>
      <c r="AW54" s="22">
        <f t="shared" si="42"/>
        <v>5197.4193000000005</v>
      </c>
      <c r="AX54" s="22">
        <f t="shared" si="43"/>
        <v>2598.7096500000002</v>
      </c>
      <c r="AY54" s="22">
        <f t="shared" si="44"/>
        <v>5197.4193000000005</v>
      </c>
      <c r="AZ54" s="22">
        <f t="shared" si="45"/>
        <v>7796.1289500000003</v>
      </c>
      <c r="BA54" s="22">
        <f t="shared" si="46"/>
        <v>5197.4193000000005</v>
      </c>
      <c r="BB54" s="22">
        <f t="shared" si="47"/>
        <v>7796.1289500000003</v>
      </c>
      <c r="BC54" s="22">
        <f t="shared" si="48"/>
        <v>7796.1289500000003</v>
      </c>
      <c r="BD54" s="22">
        <f t="shared" si="49"/>
        <v>5197.4193000000005</v>
      </c>
      <c r="BE54" s="22">
        <f t="shared" si="50"/>
        <v>5197.4193000000005</v>
      </c>
      <c r="BF54" s="22">
        <f t="shared" si="51"/>
        <v>0</v>
      </c>
      <c r="BG54" s="22">
        <f t="shared" si="52"/>
        <v>10394.838600000001</v>
      </c>
      <c r="BH54" s="22">
        <f t="shared" si="53"/>
        <v>0</v>
      </c>
      <c r="BI54" s="22">
        <f t="shared" si="54"/>
        <v>1559.22579</v>
      </c>
      <c r="BJ54" s="19" t="s">
        <v>535</v>
      </c>
      <c r="BK54" s="23" t="s">
        <v>536</v>
      </c>
      <c r="BL54" s="43">
        <f t="shared" si="55"/>
        <v>184508.38515000002</v>
      </c>
      <c r="BM54" s="39">
        <f t="shared" si="56"/>
        <v>164886.85</v>
      </c>
    </row>
    <row r="55" spans="1:65" ht="34.5" customHeight="1">
      <c r="A55" s="10" t="s">
        <v>535</v>
      </c>
      <c r="B55" s="23" t="s">
        <v>536</v>
      </c>
      <c r="C55" s="67">
        <v>107</v>
      </c>
      <c r="D55" s="68" t="s">
        <v>538</v>
      </c>
      <c r="E55" s="41">
        <v>575.92999999999995</v>
      </c>
      <c r="F55" s="21">
        <f t="shared" si="57"/>
        <v>57.592999999999996</v>
      </c>
      <c r="G55" s="21">
        <f t="shared" si="58"/>
        <v>10.94267</v>
      </c>
      <c r="H55" s="21">
        <f t="shared" si="59"/>
        <v>644.46566999999993</v>
      </c>
      <c r="J55" s="10">
        <f t="shared" si="3"/>
        <v>5</v>
      </c>
      <c r="K55" s="10"/>
      <c r="L55" s="10"/>
      <c r="M55" s="10"/>
      <c r="N55" s="242"/>
      <c r="O55" s="10"/>
      <c r="P55" s="10"/>
      <c r="Q55" s="10"/>
      <c r="R55" s="10"/>
      <c r="S55" s="10"/>
      <c r="T55" s="10"/>
      <c r="U55" s="10"/>
      <c r="V55" s="10"/>
      <c r="W55" s="10">
        <v>5</v>
      </c>
      <c r="X55" s="10"/>
      <c r="Y55" s="10"/>
      <c r="Z55" s="10"/>
      <c r="AA55" s="10"/>
      <c r="AB55" s="10"/>
      <c r="AC55" s="10"/>
      <c r="AD55" s="10"/>
      <c r="AE55" s="10"/>
      <c r="AF55" s="10"/>
      <c r="AG55" s="10"/>
      <c r="AH55" s="10"/>
      <c r="AI55" s="10"/>
      <c r="AK55" s="22">
        <f t="shared" si="30"/>
        <v>0</v>
      </c>
      <c r="AL55" s="22">
        <f t="shared" si="31"/>
        <v>0</v>
      </c>
      <c r="AM55" s="22">
        <f t="shared" si="32"/>
        <v>0</v>
      </c>
      <c r="AN55" s="22">
        <f t="shared" si="33"/>
        <v>0</v>
      </c>
      <c r="AO55" s="22">
        <f t="shared" si="34"/>
        <v>0</v>
      </c>
      <c r="AP55" s="22">
        <f t="shared" si="35"/>
        <v>0</v>
      </c>
      <c r="AQ55" s="22">
        <f t="shared" si="36"/>
        <v>0</v>
      </c>
      <c r="AR55" s="22">
        <f t="shared" si="37"/>
        <v>0</v>
      </c>
      <c r="AS55" s="22">
        <f t="shared" si="38"/>
        <v>0</v>
      </c>
      <c r="AT55" s="22">
        <f t="shared" si="39"/>
        <v>0</v>
      </c>
      <c r="AU55" s="22">
        <f t="shared" si="40"/>
        <v>0</v>
      </c>
      <c r="AV55" s="22">
        <f t="shared" si="41"/>
        <v>0</v>
      </c>
      <c r="AW55" s="22">
        <f t="shared" si="42"/>
        <v>3222.3283499999998</v>
      </c>
      <c r="AX55" s="22">
        <f t="shared" si="43"/>
        <v>0</v>
      </c>
      <c r="AY55" s="22">
        <f t="shared" si="44"/>
        <v>0</v>
      </c>
      <c r="AZ55" s="22">
        <f t="shared" si="45"/>
        <v>0</v>
      </c>
      <c r="BA55" s="22">
        <f t="shared" si="46"/>
        <v>0</v>
      </c>
      <c r="BB55" s="22">
        <f t="shared" si="47"/>
        <v>0</v>
      </c>
      <c r="BC55" s="22">
        <f t="shared" si="48"/>
        <v>0</v>
      </c>
      <c r="BD55" s="22">
        <f t="shared" si="49"/>
        <v>0</v>
      </c>
      <c r="BE55" s="22">
        <f t="shared" si="50"/>
        <v>0</v>
      </c>
      <c r="BF55" s="22">
        <f t="shared" si="51"/>
        <v>0</v>
      </c>
      <c r="BG55" s="22">
        <f t="shared" si="52"/>
        <v>0</v>
      </c>
      <c r="BH55" s="22">
        <f t="shared" si="53"/>
        <v>0</v>
      </c>
      <c r="BI55" s="22">
        <f t="shared" si="54"/>
        <v>0</v>
      </c>
      <c r="BJ55" s="19" t="s">
        <v>535</v>
      </c>
      <c r="BK55" s="23" t="s">
        <v>536</v>
      </c>
      <c r="BL55" s="43">
        <f t="shared" si="55"/>
        <v>3222.3283499999998</v>
      </c>
      <c r="BM55" s="39">
        <f t="shared" si="56"/>
        <v>2879.6499999999996</v>
      </c>
    </row>
    <row r="56" spans="1:65" ht="34.5" customHeight="1">
      <c r="A56" s="10" t="s">
        <v>535</v>
      </c>
      <c r="B56" s="23" t="s">
        <v>536</v>
      </c>
      <c r="C56" s="66">
        <v>112</v>
      </c>
      <c r="D56" s="20" t="s">
        <v>539</v>
      </c>
      <c r="E56" s="41">
        <v>1038.6400000000001</v>
      </c>
      <c r="F56" s="21">
        <f t="shared" si="57"/>
        <v>103.86400000000002</v>
      </c>
      <c r="G56" s="21">
        <f t="shared" si="58"/>
        <v>19.734160000000003</v>
      </c>
      <c r="H56" s="21">
        <f t="shared" si="59"/>
        <v>1162.2381600000001</v>
      </c>
      <c r="J56" s="10">
        <f t="shared" si="3"/>
        <v>168</v>
      </c>
      <c r="K56" s="6"/>
      <c r="L56" s="6"/>
      <c r="M56" s="6"/>
      <c r="N56" s="243"/>
      <c r="O56" s="243">
        <v>15</v>
      </c>
      <c r="P56" s="6"/>
      <c r="Q56" s="6">
        <v>30</v>
      </c>
      <c r="R56" s="243">
        <v>10</v>
      </c>
      <c r="S56" s="6">
        <v>15</v>
      </c>
      <c r="T56" s="6">
        <v>5</v>
      </c>
      <c r="U56" s="6">
        <v>15</v>
      </c>
      <c r="V56" s="6"/>
      <c r="W56" s="6">
        <v>10</v>
      </c>
      <c r="X56" s="6">
        <v>3</v>
      </c>
      <c r="Y56" s="6">
        <v>10</v>
      </c>
      <c r="Z56" s="6"/>
      <c r="AA56" s="6">
        <v>10</v>
      </c>
      <c r="AB56" s="6">
        <v>15</v>
      </c>
      <c r="AC56" s="6"/>
      <c r="AD56" s="6">
        <v>10</v>
      </c>
      <c r="AE56" s="6"/>
      <c r="AF56" s="6"/>
      <c r="AG56" s="6">
        <v>20</v>
      </c>
      <c r="AH56" s="6"/>
      <c r="AI56" s="6"/>
      <c r="AK56" s="22">
        <f t="shared" si="30"/>
        <v>0</v>
      </c>
      <c r="AL56" s="22">
        <f t="shared" si="31"/>
        <v>0</v>
      </c>
      <c r="AM56" s="22">
        <f t="shared" si="32"/>
        <v>0</v>
      </c>
      <c r="AN56" s="22">
        <f t="shared" si="33"/>
        <v>0</v>
      </c>
      <c r="AO56" s="22">
        <f t="shared" si="34"/>
        <v>17433.572400000001</v>
      </c>
      <c r="AP56" s="22">
        <f t="shared" si="35"/>
        <v>0</v>
      </c>
      <c r="AQ56" s="22">
        <f t="shared" si="36"/>
        <v>34867.144800000002</v>
      </c>
      <c r="AR56" s="22">
        <f t="shared" si="37"/>
        <v>11622.381600000001</v>
      </c>
      <c r="AS56" s="22">
        <f t="shared" si="38"/>
        <v>17433.572400000001</v>
      </c>
      <c r="AT56" s="22">
        <f t="shared" si="39"/>
        <v>5811.1908000000003</v>
      </c>
      <c r="AU56" s="22">
        <f t="shared" si="40"/>
        <v>17433.572400000001</v>
      </c>
      <c r="AV56" s="22">
        <f t="shared" si="41"/>
        <v>0</v>
      </c>
      <c r="AW56" s="22">
        <f t="shared" si="42"/>
        <v>11622.381600000001</v>
      </c>
      <c r="AX56" s="22">
        <f t="shared" si="43"/>
        <v>3486.7144800000005</v>
      </c>
      <c r="AY56" s="22">
        <f t="shared" si="44"/>
        <v>11622.381600000001</v>
      </c>
      <c r="AZ56" s="22">
        <f t="shared" si="45"/>
        <v>0</v>
      </c>
      <c r="BA56" s="22">
        <f t="shared" si="46"/>
        <v>11622.381600000001</v>
      </c>
      <c r="BB56" s="22">
        <f t="shared" si="47"/>
        <v>17433.572400000001</v>
      </c>
      <c r="BC56" s="22">
        <f t="shared" si="48"/>
        <v>0</v>
      </c>
      <c r="BD56" s="22">
        <f t="shared" si="49"/>
        <v>11622.381600000001</v>
      </c>
      <c r="BE56" s="22">
        <f t="shared" si="50"/>
        <v>0</v>
      </c>
      <c r="BF56" s="22">
        <f t="shared" si="51"/>
        <v>0</v>
      </c>
      <c r="BG56" s="22">
        <f t="shared" si="52"/>
        <v>23244.763200000001</v>
      </c>
      <c r="BH56" s="22">
        <f t="shared" si="53"/>
        <v>0</v>
      </c>
      <c r="BI56" s="22">
        <f t="shared" si="54"/>
        <v>0</v>
      </c>
      <c r="BJ56" s="19" t="s">
        <v>535</v>
      </c>
      <c r="BK56" s="23" t="s">
        <v>536</v>
      </c>
      <c r="BL56" s="43">
        <f t="shared" si="55"/>
        <v>195256.01088000002</v>
      </c>
      <c r="BM56" s="39">
        <f t="shared" si="56"/>
        <v>174491.52000000002</v>
      </c>
    </row>
    <row r="57" spans="1:65" ht="34.5" customHeight="1">
      <c r="A57" s="10" t="s">
        <v>535</v>
      </c>
      <c r="B57" s="23" t="s">
        <v>536</v>
      </c>
      <c r="C57" s="66">
        <v>118</v>
      </c>
      <c r="D57" s="20" t="s">
        <v>540</v>
      </c>
      <c r="E57" s="41">
        <v>1202.02</v>
      </c>
      <c r="F57" s="21">
        <f t="shared" si="57"/>
        <v>120.202</v>
      </c>
      <c r="G57" s="21">
        <f t="shared" si="58"/>
        <v>22.838380000000001</v>
      </c>
      <c r="H57" s="21">
        <f t="shared" si="59"/>
        <v>1345.0603799999999</v>
      </c>
      <c r="J57" s="10">
        <f t="shared" si="3"/>
        <v>494</v>
      </c>
      <c r="K57" s="6">
        <v>50</v>
      </c>
      <c r="L57" s="6"/>
      <c r="M57" s="6"/>
      <c r="N57" s="243"/>
      <c r="O57" s="242">
        <v>289</v>
      </c>
      <c r="P57" s="6"/>
      <c r="Q57" s="6">
        <v>30</v>
      </c>
      <c r="R57" s="6"/>
      <c r="S57" s="6">
        <v>20</v>
      </c>
      <c r="T57" s="6">
        <v>10</v>
      </c>
      <c r="U57" s="6">
        <v>20</v>
      </c>
      <c r="V57" s="6"/>
      <c r="W57" s="6">
        <v>10</v>
      </c>
      <c r="X57" s="6">
        <v>10</v>
      </c>
      <c r="Y57" s="6">
        <v>10</v>
      </c>
      <c r="Z57" s="6"/>
      <c r="AA57" s="6">
        <v>10</v>
      </c>
      <c r="AB57" s="6"/>
      <c r="AC57" s="6">
        <v>15</v>
      </c>
      <c r="AD57" s="6">
        <v>10</v>
      </c>
      <c r="AE57" s="6">
        <v>10</v>
      </c>
      <c r="AF57" s="6"/>
      <c r="AG57" s="6"/>
      <c r="AH57" s="6"/>
      <c r="AI57" s="6"/>
      <c r="AK57" s="22">
        <f t="shared" si="30"/>
        <v>67253.019</v>
      </c>
      <c r="AL57" s="22">
        <f t="shared" si="31"/>
        <v>0</v>
      </c>
      <c r="AM57" s="22">
        <f t="shared" si="32"/>
        <v>0</v>
      </c>
      <c r="AN57" s="22">
        <f t="shared" si="33"/>
        <v>0</v>
      </c>
      <c r="AO57" s="22">
        <f t="shared" si="34"/>
        <v>388722.44981999998</v>
      </c>
      <c r="AP57" s="22">
        <f t="shared" si="35"/>
        <v>0</v>
      </c>
      <c r="AQ57" s="22">
        <f t="shared" si="36"/>
        <v>40351.811399999999</v>
      </c>
      <c r="AR57" s="22">
        <f t="shared" si="37"/>
        <v>0</v>
      </c>
      <c r="AS57" s="22">
        <f t="shared" si="38"/>
        <v>26901.207599999998</v>
      </c>
      <c r="AT57" s="22">
        <f t="shared" si="39"/>
        <v>13450.603799999999</v>
      </c>
      <c r="AU57" s="22">
        <f t="shared" si="40"/>
        <v>26901.207599999998</v>
      </c>
      <c r="AV57" s="22">
        <f t="shared" si="41"/>
        <v>0</v>
      </c>
      <c r="AW57" s="22">
        <f t="shared" si="42"/>
        <v>13450.603799999999</v>
      </c>
      <c r="AX57" s="22">
        <f t="shared" si="43"/>
        <v>13450.603799999999</v>
      </c>
      <c r="AY57" s="22">
        <f t="shared" si="44"/>
        <v>13450.603799999999</v>
      </c>
      <c r="AZ57" s="22">
        <f t="shared" si="45"/>
        <v>0</v>
      </c>
      <c r="BA57" s="22">
        <f t="shared" si="46"/>
        <v>13450.603799999999</v>
      </c>
      <c r="BB57" s="22">
        <f t="shared" si="47"/>
        <v>0</v>
      </c>
      <c r="BC57" s="22">
        <f t="shared" si="48"/>
        <v>20175.905699999999</v>
      </c>
      <c r="BD57" s="22">
        <f t="shared" si="49"/>
        <v>13450.603799999999</v>
      </c>
      <c r="BE57" s="22">
        <f t="shared" si="50"/>
        <v>13450.603799999999</v>
      </c>
      <c r="BF57" s="22">
        <f t="shared" si="51"/>
        <v>0</v>
      </c>
      <c r="BG57" s="22">
        <f t="shared" si="52"/>
        <v>0</v>
      </c>
      <c r="BH57" s="22">
        <f t="shared" si="53"/>
        <v>0</v>
      </c>
      <c r="BI57" s="22">
        <f t="shared" si="54"/>
        <v>0</v>
      </c>
      <c r="BJ57" s="19" t="s">
        <v>535</v>
      </c>
      <c r="BK57" s="23" t="s">
        <v>536</v>
      </c>
      <c r="BL57" s="43">
        <f t="shared" si="55"/>
        <v>664459.82771999994</v>
      </c>
      <c r="BM57" s="39">
        <f t="shared" si="56"/>
        <v>593797.88</v>
      </c>
    </row>
    <row r="58" spans="1:65" ht="33.75">
      <c r="A58" s="10" t="s">
        <v>535</v>
      </c>
      <c r="B58" s="23" t="s">
        <v>536</v>
      </c>
      <c r="C58" s="66">
        <v>120</v>
      </c>
      <c r="D58" s="20" t="s">
        <v>541</v>
      </c>
      <c r="E58" s="41">
        <v>1270.49</v>
      </c>
      <c r="F58" s="21">
        <f t="shared" si="57"/>
        <v>127.04900000000001</v>
      </c>
      <c r="G58" s="21">
        <f t="shared" si="58"/>
        <v>24.139310000000002</v>
      </c>
      <c r="H58" s="21">
        <f t="shared" si="59"/>
        <v>1421.67831</v>
      </c>
      <c r="J58" s="10">
        <f t="shared" si="3"/>
        <v>374</v>
      </c>
      <c r="K58" s="6">
        <v>25</v>
      </c>
      <c r="L58" s="6"/>
      <c r="M58" s="6"/>
      <c r="N58" s="243"/>
      <c r="O58" s="242">
        <v>230</v>
      </c>
      <c r="P58" s="6"/>
      <c r="Q58" s="6"/>
      <c r="R58" s="6"/>
      <c r="S58" s="6">
        <v>12</v>
      </c>
      <c r="T58" s="6">
        <v>10</v>
      </c>
      <c r="U58" s="6">
        <v>12</v>
      </c>
      <c r="V58" s="6"/>
      <c r="W58" s="6">
        <v>10</v>
      </c>
      <c r="X58" s="6">
        <v>3</v>
      </c>
      <c r="Y58" s="6">
        <v>6</v>
      </c>
      <c r="Z58" s="6"/>
      <c r="AA58" s="6">
        <v>6</v>
      </c>
      <c r="AB58" s="6">
        <v>15</v>
      </c>
      <c r="AC58" s="6">
        <v>15</v>
      </c>
      <c r="AD58" s="6">
        <v>10</v>
      </c>
      <c r="AE58" s="6"/>
      <c r="AF58" s="6"/>
      <c r="AG58" s="6">
        <v>20</v>
      </c>
      <c r="AH58" s="6"/>
      <c r="AI58" s="6"/>
      <c r="AK58" s="22">
        <f t="shared" si="30"/>
        <v>35541.957750000001</v>
      </c>
      <c r="AL58" s="22">
        <f t="shared" si="31"/>
        <v>0</v>
      </c>
      <c r="AM58" s="22">
        <f t="shared" si="32"/>
        <v>0</v>
      </c>
      <c r="AN58" s="22">
        <f t="shared" si="33"/>
        <v>0</v>
      </c>
      <c r="AO58" s="22">
        <f t="shared" si="34"/>
        <v>326986.01130000001</v>
      </c>
      <c r="AP58" s="22">
        <f t="shared" si="35"/>
        <v>0</v>
      </c>
      <c r="AQ58" s="22">
        <f t="shared" si="36"/>
        <v>0</v>
      </c>
      <c r="AR58" s="22">
        <f t="shared" si="37"/>
        <v>0</v>
      </c>
      <c r="AS58" s="22">
        <f t="shared" si="38"/>
        <v>17060.139719999999</v>
      </c>
      <c r="AT58" s="22">
        <f t="shared" si="39"/>
        <v>14216.783100000001</v>
      </c>
      <c r="AU58" s="22">
        <f t="shared" si="40"/>
        <v>17060.139719999999</v>
      </c>
      <c r="AV58" s="22">
        <f t="shared" si="41"/>
        <v>0</v>
      </c>
      <c r="AW58" s="22">
        <f t="shared" si="42"/>
        <v>14216.783100000001</v>
      </c>
      <c r="AX58" s="22">
        <f t="shared" si="43"/>
        <v>4265.0349299999998</v>
      </c>
      <c r="AY58" s="22">
        <f t="shared" si="44"/>
        <v>8530.0698599999996</v>
      </c>
      <c r="AZ58" s="22">
        <f t="shared" si="45"/>
        <v>0</v>
      </c>
      <c r="BA58" s="22">
        <f t="shared" si="46"/>
        <v>8530.0698599999996</v>
      </c>
      <c r="BB58" s="22">
        <f t="shared" si="47"/>
        <v>21325.174650000001</v>
      </c>
      <c r="BC58" s="22">
        <f t="shared" si="48"/>
        <v>21325.174650000001</v>
      </c>
      <c r="BD58" s="22">
        <f t="shared" si="49"/>
        <v>14216.783100000001</v>
      </c>
      <c r="BE58" s="22">
        <f t="shared" si="50"/>
        <v>0</v>
      </c>
      <c r="BF58" s="22">
        <f t="shared" si="51"/>
        <v>0</v>
      </c>
      <c r="BG58" s="22">
        <f t="shared" si="52"/>
        <v>28433.566200000001</v>
      </c>
      <c r="BH58" s="22">
        <f t="shared" si="53"/>
        <v>0</v>
      </c>
      <c r="BI58" s="22">
        <f t="shared" si="54"/>
        <v>0</v>
      </c>
      <c r="BJ58" s="19" t="s">
        <v>535</v>
      </c>
      <c r="BK58" s="23" t="s">
        <v>536</v>
      </c>
      <c r="BL58" s="43">
        <f t="shared" si="55"/>
        <v>531707.68793999997</v>
      </c>
      <c r="BM58" s="39">
        <f t="shared" si="56"/>
        <v>475163.26</v>
      </c>
    </row>
    <row r="59" spans="1:65" ht="33.75">
      <c r="A59" s="10" t="s">
        <v>535</v>
      </c>
      <c r="B59" s="23" t="s">
        <v>536</v>
      </c>
      <c r="C59" s="66">
        <v>124</v>
      </c>
      <c r="D59" s="20" t="s">
        <v>923</v>
      </c>
      <c r="E59" s="41">
        <v>7167</v>
      </c>
      <c r="F59" s="21">
        <f t="shared" si="57"/>
        <v>716.7</v>
      </c>
      <c r="G59" s="21">
        <f t="shared" si="58"/>
        <v>136.173</v>
      </c>
      <c r="H59" s="21">
        <f t="shared" si="59"/>
        <v>8019.8729999999996</v>
      </c>
      <c r="J59" s="10">
        <f t="shared" si="3"/>
        <v>100</v>
      </c>
      <c r="K59" s="6">
        <v>100</v>
      </c>
      <c r="L59" s="6"/>
      <c r="M59" s="6"/>
      <c r="N59" s="243"/>
      <c r="O59" s="10"/>
      <c r="P59" s="6"/>
      <c r="Q59" s="6"/>
      <c r="R59" s="6"/>
      <c r="S59" s="6"/>
      <c r="T59" s="6"/>
      <c r="U59" s="6"/>
      <c r="V59" s="6"/>
      <c r="W59" s="6"/>
      <c r="X59" s="6"/>
      <c r="Y59" s="6"/>
      <c r="Z59" s="6"/>
      <c r="AA59" s="6"/>
      <c r="AB59" s="6"/>
      <c r="AC59" s="6"/>
      <c r="AD59" s="6"/>
      <c r="AE59" s="6"/>
      <c r="AF59" s="6"/>
      <c r="AG59" s="6"/>
      <c r="AH59" s="6"/>
      <c r="AI59" s="6"/>
      <c r="AK59" s="22">
        <f t="shared" si="30"/>
        <v>801987.29999999993</v>
      </c>
      <c r="AL59" s="22">
        <f t="shared" si="31"/>
        <v>0</v>
      </c>
      <c r="AM59" s="22">
        <f t="shared" si="32"/>
        <v>0</v>
      </c>
      <c r="AN59" s="22">
        <f t="shared" si="33"/>
        <v>0</v>
      </c>
      <c r="AO59" s="22">
        <f t="shared" si="34"/>
        <v>0</v>
      </c>
      <c r="AP59" s="22">
        <f t="shared" si="35"/>
        <v>0</v>
      </c>
      <c r="AQ59" s="22">
        <f t="shared" si="36"/>
        <v>0</v>
      </c>
      <c r="AR59" s="22">
        <f t="shared" si="37"/>
        <v>0</v>
      </c>
      <c r="AS59" s="22">
        <f t="shared" si="38"/>
        <v>0</v>
      </c>
      <c r="AT59" s="22">
        <f t="shared" si="39"/>
        <v>0</v>
      </c>
      <c r="AU59" s="22">
        <f t="shared" si="40"/>
        <v>0</v>
      </c>
      <c r="AV59" s="22">
        <f t="shared" si="41"/>
        <v>0</v>
      </c>
      <c r="AW59" s="22">
        <f t="shared" si="42"/>
        <v>0</v>
      </c>
      <c r="AX59" s="22">
        <f t="shared" si="43"/>
        <v>0</v>
      </c>
      <c r="AY59" s="22">
        <f t="shared" si="44"/>
        <v>0</v>
      </c>
      <c r="AZ59" s="22">
        <f t="shared" si="45"/>
        <v>0</v>
      </c>
      <c r="BA59" s="22">
        <f t="shared" si="46"/>
        <v>0</v>
      </c>
      <c r="BB59" s="22">
        <f t="shared" si="47"/>
        <v>0</v>
      </c>
      <c r="BC59" s="22">
        <f t="shared" si="48"/>
        <v>0</v>
      </c>
      <c r="BD59" s="22">
        <f t="shared" si="49"/>
        <v>0</v>
      </c>
      <c r="BE59" s="22">
        <f t="shared" si="50"/>
        <v>0</v>
      </c>
      <c r="BF59" s="22">
        <f t="shared" si="51"/>
        <v>0</v>
      </c>
      <c r="BG59" s="22">
        <f t="shared" si="52"/>
        <v>0</v>
      </c>
      <c r="BH59" s="22">
        <f t="shared" si="53"/>
        <v>0</v>
      </c>
      <c r="BI59" s="22">
        <f t="shared" si="54"/>
        <v>0</v>
      </c>
      <c r="BJ59" s="19" t="s">
        <v>535</v>
      </c>
      <c r="BK59" s="23" t="s">
        <v>536</v>
      </c>
      <c r="BL59" s="43">
        <f t="shared" si="55"/>
        <v>801987.29999999993</v>
      </c>
      <c r="BM59" s="39">
        <f t="shared" si="56"/>
        <v>716700</v>
      </c>
    </row>
    <row r="60" spans="1:65" ht="33.75">
      <c r="A60" s="10" t="s">
        <v>535</v>
      </c>
      <c r="B60" s="23" t="s">
        <v>536</v>
      </c>
      <c r="C60" s="66">
        <v>125</v>
      </c>
      <c r="D60" s="20" t="s">
        <v>542</v>
      </c>
      <c r="E60" s="41">
        <v>2376.8200000000002</v>
      </c>
      <c r="F60" s="21">
        <f t="shared" si="57"/>
        <v>237.68200000000002</v>
      </c>
      <c r="G60" s="21">
        <f t="shared" si="58"/>
        <v>45.159580000000005</v>
      </c>
      <c r="H60" s="21">
        <f t="shared" si="59"/>
        <v>2659.6615800000004</v>
      </c>
      <c r="J60" s="10">
        <f t="shared" si="3"/>
        <v>114</v>
      </c>
      <c r="K60" s="6">
        <v>40</v>
      </c>
      <c r="L60" s="243">
        <v>8</v>
      </c>
      <c r="M60" s="6"/>
      <c r="N60" s="243"/>
      <c r="O60" s="6"/>
      <c r="P60" s="6"/>
      <c r="Q60" s="6"/>
      <c r="R60" s="6"/>
      <c r="S60" s="6">
        <v>8</v>
      </c>
      <c r="T60" s="6"/>
      <c r="U60" s="6"/>
      <c r="V60" s="6"/>
      <c r="W60" s="6">
        <v>5</v>
      </c>
      <c r="X60" s="6"/>
      <c r="Y60" s="6">
        <v>4</v>
      </c>
      <c r="Z60" s="6"/>
      <c r="AA60" s="6">
        <v>4</v>
      </c>
      <c r="AB60" s="6"/>
      <c r="AC60" s="6"/>
      <c r="AD60" s="6">
        <v>10</v>
      </c>
      <c r="AE60" s="6">
        <v>10</v>
      </c>
      <c r="AF60" s="6"/>
      <c r="AG60" s="6"/>
      <c r="AH60" s="6">
        <v>20</v>
      </c>
      <c r="AI60" s="6">
        <v>5</v>
      </c>
      <c r="AK60" s="22">
        <f t="shared" si="30"/>
        <v>106386.46320000001</v>
      </c>
      <c r="AL60" s="22">
        <f t="shared" si="31"/>
        <v>21277.292640000003</v>
      </c>
      <c r="AM60" s="22">
        <f t="shared" si="32"/>
        <v>0</v>
      </c>
      <c r="AN60" s="22">
        <f t="shared" si="33"/>
        <v>0</v>
      </c>
      <c r="AO60" s="22">
        <f t="shared" si="34"/>
        <v>0</v>
      </c>
      <c r="AP60" s="22">
        <f t="shared" si="35"/>
        <v>0</v>
      </c>
      <c r="AQ60" s="22">
        <f t="shared" si="36"/>
        <v>0</v>
      </c>
      <c r="AR60" s="22">
        <f t="shared" si="37"/>
        <v>0</v>
      </c>
      <c r="AS60" s="22">
        <f t="shared" si="38"/>
        <v>21277.292640000003</v>
      </c>
      <c r="AT60" s="22">
        <f t="shared" si="39"/>
        <v>0</v>
      </c>
      <c r="AU60" s="22">
        <f t="shared" si="40"/>
        <v>0</v>
      </c>
      <c r="AV60" s="22">
        <f t="shared" si="41"/>
        <v>0</v>
      </c>
      <c r="AW60" s="22">
        <f t="shared" si="42"/>
        <v>13298.307900000002</v>
      </c>
      <c r="AX60" s="22">
        <f t="shared" si="43"/>
        <v>0</v>
      </c>
      <c r="AY60" s="22">
        <f t="shared" si="44"/>
        <v>10638.646320000002</v>
      </c>
      <c r="AZ60" s="22">
        <f t="shared" si="45"/>
        <v>0</v>
      </c>
      <c r="BA60" s="22">
        <f t="shared" si="46"/>
        <v>10638.646320000002</v>
      </c>
      <c r="BB60" s="22">
        <f t="shared" si="47"/>
        <v>0</v>
      </c>
      <c r="BC60" s="22">
        <f t="shared" si="48"/>
        <v>0</v>
      </c>
      <c r="BD60" s="22">
        <f t="shared" si="49"/>
        <v>26596.615800000003</v>
      </c>
      <c r="BE60" s="22">
        <f t="shared" si="50"/>
        <v>26596.615800000003</v>
      </c>
      <c r="BF60" s="22">
        <f t="shared" si="51"/>
        <v>0</v>
      </c>
      <c r="BG60" s="22">
        <f t="shared" si="52"/>
        <v>0</v>
      </c>
      <c r="BH60" s="22">
        <f t="shared" si="53"/>
        <v>53193.231600000006</v>
      </c>
      <c r="BI60" s="22">
        <f t="shared" si="54"/>
        <v>13298.307900000002</v>
      </c>
      <c r="BJ60" s="19" t="s">
        <v>535</v>
      </c>
      <c r="BK60" s="23" t="s">
        <v>536</v>
      </c>
      <c r="BL60" s="43">
        <f t="shared" si="55"/>
        <v>303201.42012000002</v>
      </c>
      <c r="BM60" s="39">
        <f t="shared" si="56"/>
        <v>270957.48000000004</v>
      </c>
    </row>
    <row r="61" spans="1:65" ht="33.75">
      <c r="A61" s="10" t="s">
        <v>535</v>
      </c>
      <c r="B61" s="23" t="s">
        <v>536</v>
      </c>
      <c r="C61" s="66">
        <v>126</v>
      </c>
      <c r="D61" s="20" t="s">
        <v>924</v>
      </c>
      <c r="E61" s="41">
        <v>7296.68</v>
      </c>
      <c r="F61" s="21">
        <f t="shared" si="57"/>
        <v>729.66800000000012</v>
      </c>
      <c r="G61" s="21">
        <f t="shared" si="58"/>
        <v>138.63692000000003</v>
      </c>
      <c r="H61" s="21">
        <f t="shared" si="59"/>
        <v>8164.9849199999999</v>
      </c>
      <c r="J61" s="10">
        <f t="shared" si="3"/>
        <v>58</v>
      </c>
      <c r="K61" s="6"/>
      <c r="L61" s="243">
        <v>8</v>
      </c>
      <c r="M61" s="6">
        <v>8</v>
      </c>
      <c r="N61" s="243"/>
      <c r="O61" s="6"/>
      <c r="P61" s="6"/>
      <c r="Q61" s="6"/>
      <c r="R61" s="6"/>
      <c r="S61" s="6">
        <v>8</v>
      </c>
      <c r="T61" s="6"/>
      <c r="U61" s="6"/>
      <c r="V61" s="6"/>
      <c r="W61" s="6"/>
      <c r="X61" s="6"/>
      <c r="Y61" s="6">
        <v>4</v>
      </c>
      <c r="Z61" s="6"/>
      <c r="AA61" s="6"/>
      <c r="AB61" s="6"/>
      <c r="AC61" s="6"/>
      <c r="AD61" s="6">
        <v>10</v>
      </c>
      <c r="AE61" s="6"/>
      <c r="AF61" s="6"/>
      <c r="AG61" s="6"/>
      <c r="AH61" s="6">
        <v>20</v>
      </c>
      <c r="AI61" s="6"/>
      <c r="AK61" s="22">
        <f t="shared" si="30"/>
        <v>0</v>
      </c>
      <c r="AL61" s="22">
        <f t="shared" si="31"/>
        <v>65319.879359999999</v>
      </c>
      <c r="AM61" s="22">
        <f t="shared" si="32"/>
        <v>65319.879359999999</v>
      </c>
      <c r="AN61" s="22">
        <f t="shared" si="33"/>
        <v>0</v>
      </c>
      <c r="AO61" s="22">
        <f t="shared" si="34"/>
        <v>0</v>
      </c>
      <c r="AP61" s="22">
        <f t="shared" si="35"/>
        <v>0</v>
      </c>
      <c r="AQ61" s="22">
        <f t="shared" si="36"/>
        <v>0</v>
      </c>
      <c r="AR61" s="22">
        <f t="shared" si="37"/>
        <v>0</v>
      </c>
      <c r="AS61" s="22">
        <f t="shared" si="38"/>
        <v>65319.879359999999</v>
      </c>
      <c r="AT61" s="22">
        <f t="shared" si="39"/>
        <v>0</v>
      </c>
      <c r="AU61" s="22">
        <f t="shared" si="40"/>
        <v>0</v>
      </c>
      <c r="AV61" s="22">
        <f t="shared" si="41"/>
        <v>0</v>
      </c>
      <c r="AW61" s="22">
        <f t="shared" si="42"/>
        <v>0</v>
      </c>
      <c r="AX61" s="22">
        <f t="shared" si="43"/>
        <v>0</v>
      </c>
      <c r="AY61" s="22">
        <f t="shared" si="44"/>
        <v>32659.939679999999</v>
      </c>
      <c r="AZ61" s="22">
        <f t="shared" si="45"/>
        <v>0</v>
      </c>
      <c r="BA61" s="22">
        <f t="shared" si="46"/>
        <v>0</v>
      </c>
      <c r="BB61" s="22">
        <f t="shared" si="47"/>
        <v>0</v>
      </c>
      <c r="BC61" s="22">
        <f t="shared" si="48"/>
        <v>0</v>
      </c>
      <c r="BD61" s="22">
        <f t="shared" si="49"/>
        <v>81649.849199999997</v>
      </c>
      <c r="BE61" s="22">
        <f t="shared" si="50"/>
        <v>0</v>
      </c>
      <c r="BF61" s="22">
        <f t="shared" si="51"/>
        <v>0</v>
      </c>
      <c r="BG61" s="22">
        <f t="shared" si="52"/>
        <v>0</v>
      </c>
      <c r="BH61" s="22">
        <f t="shared" si="53"/>
        <v>163299.69839999999</v>
      </c>
      <c r="BI61" s="22">
        <f t="shared" si="54"/>
        <v>0</v>
      </c>
      <c r="BJ61" s="19" t="s">
        <v>535</v>
      </c>
      <c r="BK61" s="23" t="s">
        <v>536</v>
      </c>
      <c r="BL61" s="43">
        <f t="shared" si="55"/>
        <v>473569.12536000001</v>
      </c>
      <c r="BM61" s="39">
        <f t="shared" si="56"/>
        <v>423207.44</v>
      </c>
    </row>
    <row r="62" spans="1:65" ht="33.75">
      <c r="A62" s="10" t="s">
        <v>535</v>
      </c>
      <c r="B62" s="23" t="s">
        <v>536</v>
      </c>
      <c r="C62" s="67">
        <v>127</v>
      </c>
      <c r="D62" s="68" t="s">
        <v>543</v>
      </c>
      <c r="E62" s="41">
        <v>1813.54</v>
      </c>
      <c r="F62" s="21">
        <f t="shared" si="57"/>
        <v>181.35400000000001</v>
      </c>
      <c r="G62" s="21">
        <f t="shared" si="58"/>
        <v>34.457260000000005</v>
      </c>
      <c r="H62" s="21">
        <f t="shared" si="59"/>
        <v>2029.3512599999999</v>
      </c>
      <c r="J62" s="10">
        <f t="shared" si="3"/>
        <v>4</v>
      </c>
      <c r="K62" s="6"/>
      <c r="L62" s="243"/>
      <c r="M62" s="6"/>
      <c r="N62" s="243"/>
      <c r="O62" s="6"/>
      <c r="P62" s="6"/>
      <c r="Q62" s="6"/>
      <c r="R62" s="6"/>
      <c r="S62" s="6"/>
      <c r="T62" s="6"/>
      <c r="U62" s="6"/>
      <c r="V62" s="6"/>
      <c r="W62" s="6"/>
      <c r="X62" s="6"/>
      <c r="Y62" s="6"/>
      <c r="Z62" s="6"/>
      <c r="AA62" s="6">
        <v>4</v>
      </c>
      <c r="AB62" s="6"/>
      <c r="AC62" s="6"/>
      <c r="AD62" s="6"/>
      <c r="AE62" s="6"/>
      <c r="AF62" s="6"/>
      <c r="AG62" s="6"/>
      <c r="AH62" s="6"/>
      <c r="AI62" s="6"/>
      <c r="AK62" s="22">
        <f t="shared" si="30"/>
        <v>0</v>
      </c>
      <c r="AL62" s="22">
        <f t="shared" si="31"/>
        <v>0</v>
      </c>
      <c r="AM62" s="22">
        <f t="shared" si="32"/>
        <v>0</v>
      </c>
      <c r="AN62" s="22">
        <f t="shared" si="33"/>
        <v>0</v>
      </c>
      <c r="AO62" s="22">
        <f t="shared" si="34"/>
        <v>0</v>
      </c>
      <c r="AP62" s="22">
        <f t="shared" si="35"/>
        <v>0</v>
      </c>
      <c r="AQ62" s="22">
        <f t="shared" si="36"/>
        <v>0</v>
      </c>
      <c r="AR62" s="22">
        <f t="shared" si="37"/>
        <v>0</v>
      </c>
      <c r="AS62" s="22">
        <f t="shared" si="38"/>
        <v>0</v>
      </c>
      <c r="AT62" s="22">
        <f t="shared" si="39"/>
        <v>0</v>
      </c>
      <c r="AU62" s="22">
        <f t="shared" si="40"/>
        <v>0</v>
      </c>
      <c r="AV62" s="22">
        <f t="shared" si="41"/>
        <v>0</v>
      </c>
      <c r="AW62" s="22">
        <f t="shared" si="42"/>
        <v>0</v>
      </c>
      <c r="AX62" s="22">
        <f t="shared" si="43"/>
        <v>0</v>
      </c>
      <c r="AY62" s="22">
        <f t="shared" si="44"/>
        <v>0</v>
      </c>
      <c r="AZ62" s="22">
        <f t="shared" si="45"/>
        <v>0</v>
      </c>
      <c r="BA62" s="22">
        <f t="shared" si="46"/>
        <v>8117.4050399999996</v>
      </c>
      <c r="BB62" s="22">
        <f t="shared" si="47"/>
        <v>0</v>
      </c>
      <c r="BC62" s="22">
        <f t="shared" si="48"/>
        <v>0</v>
      </c>
      <c r="BD62" s="22">
        <f t="shared" si="49"/>
        <v>0</v>
      </c>
      <c r="BE62" s="22">
        <f t="shared" si="50"/>
        <v>0</v>
      </c>
      <c r="BF62" s="22">
        <f t="shared" si="51"/>
        <v>0</v>
      </c>
      <c r="BG62" s="22">
        <f t="shared" si="52"/>
        <v>0</v>
      </c>
      <c r="BH62" s="22">
        <f t="shared" si="53"/>
        <v>0</v>
      </c>
      <c r="BI62" s="22">
        <f t="shared" si="54"/>
        <v>0</v>
      </c>
      <c r="BJ62" s="19" t="s">
        <v>535</v>
      </c>
      <c r="BK62" s="23" t="s">
        <v>536</v>
      </c>
      <c r="BL62" s="43">
        <f t="shared" si="55"/>
        <v>8117.4050399999996</v>
      </c>
      <c r="BM62" s="39">
        <f t="shared" si="56"/>
        <v>7254.16</v>
      </c>
    </row>
    <row r="63" spans="1:65" ht="33.75">
      <c r="A63" s="27" t="s">
        <v>544</v>
      </c>
      <c r="B63" s="27" t="s">
        <v>545</v>
      </c>
      <c r="C63" s="66">
        <v>136</v>
      </c>
      <c r="D63" s="20" t="s">
        <v>546</v>
      </c>
      <c r="E63" s="41">
        <v>6018.26</v>
      </c>
      <c r="F63" s="21">
        <f t="shared" si="57"/>
        <v>601.82600000000002</v>
      </c>
      <c r="G63" s="21">
        <f t="shared" si="58"/>
        <v>114.34694</v>
      </c>
      <c r="H63" s="21">
        <f t="shared" si="59"/>
        <v>6734.4329400000006</v>
      </c>
      <c r="J63" s="10">
        <f t="shared" si="3"/>
        <v>5</v>
      </c>
      <c r="K63" s="6">
        <v>3</v>
      </c>
      <c r="L63" s="6"/>
      <c r="M63" s="6"/>
      <c r="N63" s="243"/>
      <c r="O63" s="6"/>
      <c r="P63" s="6"/>
      <c r="Q63" s="6"/>
      <c r="R63" s="6"/>
      <c r="S63" s="6"/>
      <c r="T63" s="6"/>
      <c r="U63" s="6"/>
      <c r="V63" s="6"/>
      <c r="W63" s="6"/>
      <c r="X63" s="6"/>
      <c r="Y63" s="6"/>
      <c r="Z63" s="6"/>
      <c r="AA63" s="6"/>
      <c r="AB63" s="6"/>
      <c r="AC63" s="6"/>
      <c r="AD63" s="6"/>
      <c r="AE63" s="6"/>
      <c r="AF63" s="6"/>
      <c r="AG63" s="6"/>
      <c r="AH63" s="6">
        <v>2</v>
      </c>
      <c r="AI63" s="6"/>
      <c r="AK63" s="22">
        <f t="shared" si="30"/>
        <v>20203.298820000004</v>
      </c>
      <c r="AL63" s="22">
        <f t="shared" si="31"/>
        <v>0</v>
      </c>
      <c r="AM63" s="22">
        <f t="shared" si="32"/>
        <v>0</v>
      </c>
      <c r="AN63" s="22">
        <f t="shared" si="33"/>
        <v>0</v>
      </c>
      <c r="AO63" s="22">
        <f t="shared" si="34"/>
        <v>0</v>
      </c>
      <c r="AP63" s="22">
        <f t="shared" si="35"/>
        <v>0</v>
      </c>
      <c r="AQ63" s="22">
        <f t="shared" si="36"/>
        <v>0</v>
      </c>
      <c r="AR63" s="22">
        <f t="shared" si="37"/>
        <v>0</v>
      </c>
      <c r="AS63" s="22">
        <f t="shared" si="38"/>
        <v>0</v>
      </c>
      <c r="AT63" s="22">
        <f t="shared" si="39"/>
        <v>0</v>
      </c>
      <c r="AU63" s="22">
        <f t="shared" si="40"/>
        <v>0</v>
      </c>
      <c r="AV63" s="22">
        <f t="shared" si="41"/>
        <v>0</v>
      </c>
      <c r="AW63" s="22">
        <f t="shared" si="42"/>
        <v>0</v>
      </c>
      <c r="AX63" s="22">
        <f t="shared" si="43"/>
        <v>0</v>
      </c>
      <c r="AY63" s="22">
        <f t="shared" si="44"/>
        <v>0</v>
      </c>
      <c r="AZ63" s="22">
        <f t="shared" si="45"/>
        <v>0</v>
      </c>
      <c r="BA63" s="22">
        <f t="shared" si="46"/>
        <v>0</v>
      </c>
      <c r="BB63" s="22">
        <f t="shared" si="47"/>
        <v>0</v>
      </c>
      <c r="BC63" s="22">
        <f t="shared" si="48"/>
        <v>0</v>
      </c>
      <c r="BD63" s="22">
        <f t="shared" si="49"/>
        <v>0</v>
      </c>
      <c r="BE63" s="22">
        <f t="shared" si="50"/>
        <v>0</v>
      </c>
      <c r="BF63" s="22">
        <f t="shared" si="51"/>
        <v>0</v>
      </c>
      <c r="BG63" s="22">
        <f t="shared" si="52"/>
        <v>0</v>
      </c>
      <c r="BH63" s="22">
        <f t="shared" si="53"/>
        <v>13468.865880000001</v>
      </c>
      <c r="BI63" s="22">
        <f t="shared" si="54"/>
        <v>0</v>
      </c>
      <c r="BJ63" s="28" t="s">
        <v>544</v>
      </c>
      <c r="BK63" s="28" t="s">
        <v>545</v>
      </c>
      <c r="BL63" s="43">
        <f t="shared" si="55"/>
        <v>33672.164700000001</v>
      </c>
      <c r="BM63" s="39">
        <f t="shared" si="56"/>
        <v>30091.300000000003</v>
      </c>
    </row>
    <row r="64" spans="1:65" ht="33.75">
      <c r="A64" s="27" t="s">
        <v>544</v>
      </c>
      <c r="B64" s="27" t="s">
        <v>545</v>
      </c>
      <c r="C64" s="66">
        <v>138</v>
      </c>
      <c r="D64" s="20" t="s">
        <v>547</v>
      </c>
      <c r="E64" s="41">
        <v>2257.2600000000002</v>
      </c>
      <c r="F64" s="21">
        <f t="shared" si="57"/>
        <v>225.72600000000003</v>
      </c>
      <c r="G64" s="21">
        <f t="shared" si="58"/>
        <v>42.887940000000008</v>
      </c>
      <c r="H64" s="21">
        <f t="shared" si="59"/>
        <v>2525.8739400000004</v>
      </c>
      <c r="J64" s="10">
        <f t="shared" si="3"/>
        <v>3</v>
      </c>
      <c r="K64" s="6">
        <v>1</v>
      </c>
      <c r="L64" s="6"/>
      <c r="M64" s="6"/>
      <c r="N64" s="243"/>
      <c r="O64" s="6"/>
      <c r="P64" s="6"/>
      <c r="Q64" s="6"/>
      <c r="R64" s="6"/>
      <c r="S64" s="6"/>
      <c r="T64" s="6"/>
      <c r="U64" s="6"/>
      <c r="V64" s="6"/>
      <c r="W64" s="6"/>
      <c r="X64" s="243">
        <v>0</v>
      </c>
      <c r="Y64" s="6"/>
      <c r="Z64" s="6"/>
      <c r="AA64" s="6"/>
      <c r="AB64" s="6"/>
      <c r="AC64" s="6"/>
      <c r="AD64" s="6"/>
      <c r="AE64" s="6"/>
      <c r="AF64" s="6"/>
      <c r="AG64" s="6"/>
      <c r="AH64" s="6">
        <v>2</v>
      </c>
      <c r="AI64" s="6"/>
      <c r="AK64" s="22">
        <f t="shared" si="30"/>
        <v>2525.8739400000004</v>
      </c>
      <c r="AL64" s="22">
        <f t="shared" si="31"/>
        <v>0</v>
      </c>
      <c r="AM64" s="22">
        <f t="shared" si="32"/>
        <v>0</v>
      </c>
      <c r="AN64" s="22">
        <f t="shared" si="33"/>
        <v>0</v>
      </c>
      <c r="AO64" s="22">
        <f t="shared" si="34"/>
        <v>0</v>
      </c>
      <c r="AP64" s="22">
        <f t="shared" si="35"/>
        <v>0</v>
      </c>
      <c r="AQ64" s="22">
        <f t="shared" si="36"/>
        <v>0</v>
      </c>
      <c r="AR64" s="22">
        <f t="shared" si="37"/>
        <v>0</v>
      </c>
      <c r="AS64" s="22">
        <f t="shared" si="38"/>
        <v>0</v>
      </c>
      <c r="AT64" s="22">
        <f t="shared" si="39"/>
        <v>0</v>
      </c>
      <c r="AU64" s="22">
        <f t="shared" si="40"/>
        <v>0</v>
      </c>
      <c r="AV64" s="22">
        <f t="shared" si="41"/>
        <v>0</v>
      </c>
      <c r="AW64" s="22">
        <f t="shared" si="42"/>
        <v>0</v>
      </c>
      <c r="AX64" s="22">
        <f t="shared" si="43"/>
        <v>0</v>
      </c>
      <c r="AY64" s="22">
        <f t="shared" si="44"/>
        <v>0</v>
      </c>
      <c r="AZ64" s="22">
        <f t="shared" si="45"/>
        <v>0</v>
      </c>
      <c r="BA64" s="22">
        <f t="shared" si="46"/>
        <v>0</v>
      </c>
      <c r="BB64" s="22">
        <f t="shared" si="47"/>
        <v>0</v>
      </c>
      <c r="BC64" s="22">
        <f t="shared" si="48"/>
        <v>0</v>
      </c>
      <c r="BD64" s="22">
        <f t="shared" si="49"/>
        <v>0</v>
      </c>
      <c r="BE64" s="22">
        <f t="shared" si="50"/>
        <v>0</v>
      </c>
      <c r="BF64" s="22">
        <f t="shared" si="51"/>
        <v>0</v>
      </c>
      <c r="BG64" s="22">
        <f t="shared" si="52"/>
        <v>0</v>
      </c>
      <c r="BH64" s="22">
        <f t="shared" si="53"/>
        <v>5051.7478800000008</v>
      </c>
      <c r="BI64" s="22">
        <f t="shared" si="54"/>
        <v>0</v>
      </c>
      <c r="BJ64" s="28" t="s">
        <v>544</v>
      </c>
      <c r="BK64" s="28" t="s">
        <v>545</v>
      </c>
      <c r="BL64" s="43">
        <f t="shared" si="55"/>
        <v>7577.6218200000012</v>
      </c>
      <c r="BM64" s="39">
        <f t="shared" si="56"/>
        <v>6771.7800000000007</v>
      </c>
    </row>
    <row r="65" spans="1:65" ht="33.75">
      <c r="A65" s="10" t="s">
        <v>548</v>
      </c>
      <c r="B65" s="23" t="s">
        <v>549</v>
      </c>
      <c r="C65" s="66">
        <v>141</v>
      </c>
      <c r="D65" s="20" t="s">
        <v>550</v>
      </c>
      <c r="E65" s="41">
        <v>1064.73</v>
      </c>
      <c r="F65" s="21">
        <f t="shared" si="57"/>
        <v>106.47300000000001</v>
      </c>
      <c r="G65" s="21">
        <f t="shared" si="58"/>
        <v>20.229870000000002</v>
      </c>
      <c r="H65" s="21">
        <f t="shared" si="59"/>
        <v>1191.4328699999999</v>
      </c>
      <c r="J65" s="10">
        <f t="shared" si="3"/>
        <v>0</v>
      </c>
      <c r="K65" s="6"/>
      <c r="L65" s="6"/>
      <c r="M65" s="6"/>
      <c r="N65" s="243"/>
      <c r="O65" s="6"/>
      <c r="P65" s="6"/>
      <c r="Q65" s="6"/>
      <c r="R65" s="6"/>
      <c r="S65" s="6"/>
      <c r="T65" s="6"/>
      <c r="U65" s="6"/>
      <c r="V65" s="6"/>
      <c r="W65" s="6"/>
      <c r="X65" s="6"/>
      <c r="Y65" s="6"/>
      <c r="Z65" s="6"/>
      <c r="AA65" s="6"/>
      <c r="AB65" s="6"/>
      <c r="AC65" s="6"/>
      <c r="AD65" s="6"/>
      <c r="AE65" s="6"/>
      <c r="AF65" s="6"/>
      <c r="AG65" s="6"/>
      <c r="AH65" s="6"/>
      <c r="AI65" s="6"/>
      <c r="AK65" s="22">
        <f t="shared" si="30"/>
        <v>0</v>
      </c>
      <c r="AL65" s="22">
        <f t="shared" si="31"/>
        <v>0</v>
      </c>
      <c r="AM65" s="22">
        <f t="shared" si="32"/>
        <v>0</v>
      </c>
      <c r="AN65" s="22">
        <f t="shared" si="33"/>
        <v>0</v>
      </c>
      <c r="AO65" s="22">
        <f t="shared" si="34"/>
        <v>0</v>
      </c>
      <c r="AP65" s="22">
        <f t="shared" si="35"/>
        <v>0</v>
      </c>
      <c r="AQ65" s="22">
        <f t="shared" si="36"/>
        <v>0</v>
      </c>
      <c r="AR65" s="22">
        <f t="shared" si="37"/>
        <v>0</v>
      </c>
      <c r="AS65" s="22">
        <f t="shared" si="38"/>
        <v>0</v>
      </c>
      <c r="AT65" s="22">
        <f t="shared" si="39"/>
        <v>0</v>
      </c>
      <c r="AU65" s="22">
        <f t="shared" si="40"/>
        <v>0</v>
      </c>
      <c r="AV65" s="22">
        <f t="shared" si="41"/>
        <v>0</v>
      </c>
      <c r="AW65" s="22">
        <f t="shared" si="42"/>
        <v>0</v>
      </c>
      <c r="AX65" s="22">
        <f t="shared" si="43"/>
        <v>0</v>
      </c>
      <c r="AY65" s="22">
        <f t="shared" si="44"/>
        <v>0</v>
      </c>
      <c r="AZ65" s="22">
        <f t="shared" si="45"/>
        <v>0</v>
      </c>
      <c r="BA65" s="22">
        <f t="shared" si="46"/>
        <v>0</v>
      </c>
      <c r="BB65" s="22">
        <f t="shared" si="47"/>
        <v>0</v>
      </c>
      <c r="BC65" s="22">
        <f t="shared" si="48"/>
        <v>0</v>
      </c>
      <c r="BD65" s="22">
        <f t="shared" si="49"/>
        <v>0</v>
      </c>
      <c r="BE65" s="22">
        <f t="shared" si="50"/>
        <v>0</v>
      </c>
      <c r="BF65" s="22">
        <f t="shared" si="51"/>
        <v>0</v>
      </c>
      <c r="BG65" s="22">
        <f t="shared" si="52"/>
        <v>0</v>
      </c>
      <c r="BH65" s="22">
        <f t="shared" si="53"/>
        <v>0</v>
      </c>
      <c r="BI65" s="22">
        <f t="shared" si="54"/>
        <v>0</v>
      </c>
      <c r="BJ65" s="19" t="s">
        <v>548</v>
      </c>
      <c r="BK65" s="23" t="s">
        <v>549</v>
      </c>
      <c r="BL65" s="43">
        <f t="shared" si="55"/>
        <v>0</v>
      </c>
      <c r="BM65" s="39">
        <f t="shared" si="56"/>
        <v>0</v>
      </c>
    </row>
    <row r="66" spans="1:65" ht="33.75">
      <c r="A66" s="10" t="s">
        <v>548</v>
      </c>
      <c r="B66" s="23" t="s">
        <v>549</v>
      </c>
      <c r="C66" s="66">
        <v>143</v>
      </c>
      <c r="D66" s="20" t="s">
        <v>551</v>
      </c>
      <c r="E66" s="41">
        <v>6572.61</v>
      </c>
      <c r="F66" s="21">
        <f t="shared" si="57"/>
        <v>657.26099999999997</v>
      </c>
      <c r="G66" s="21">
        <f t="shared" si="58"/>
        <v>124.87958999999999</v>
      </c>
      <c r="H66" s="21">
        <f t="shared" si="59"/>
        <v>7354.7505899999987</v>
      </c>
      <c r="J66" s="10">
        <f t="shared" ref="J66:J129" si="60">SUM(K66:AI66)</f>
        <v>1115</v>
      </c>
      <c r="K66" s="6">
        <v>250</v>
      </c>
      <c r="L66" s="243">
        <v>40</v>
      </c>
      <c r="M66" s="6">
        <v>20</v>
      </c>
      <c r="N66" s="243"/>
      <c r="O66" s="10">
        <v>128</v>
      </c>
      <c r="P66" s="6">
        <v>60</v>
      </c>
      <c r="Q66" s="6">
        <v>40</v>
      </c>
      <c r="R66" s="6"/>
      <c r="S66" s="6">
        <v>80</v>
      </c>
      <c r="T66" s="243">
        <f>20+40</f>
        <v>60</v>
      </c>
      <c r="U66" s="6">
        <v>60</v>
      </c>
      <c r="V66" s="6"/>
      <c r="W66" s="6"/>
      <c r="X66" s="6">
        <v>40</v>
      </c>
      <c r="Y66" s="6">
        <v>40</v>
      </c>
      <c r="Z66" s="6">
        <v>60</v>
      </c>
      <c r="AA66" s="6">
        <v>40</v>
      </c>
      <c r="AB66" s="6">
        <v>30</v>
      </c>
      <c r="AC66" s="6">
        <v>30</v>
      </c>
      <c r="AD66" s="6">
        <v>30</v>
      </c>
      <c r="AE66" s="6">
        <v>9</v>
      </c>
      <c r="AF66" s="6"/>
      <c r="AG66" s="6">
        <v>30</v>
      </c>
      <c r="AH66" s="6">
        <v>20</v>
      </c>
      <c r="AI66" s="6">
        <v>48</v>
      </c>
      <c r="AK66" s="22">
        <f t="shared" si="30"/>
        <v>1838687.6474999997</v>
      </c>
      <c r="AL66" s="22">
        <f t="shared" si="31"/>
        <v>294190.02359999996</v>
      </c>
      <c r="AM66" s="22">
        <f t="shared" si="32"/>
        <v>147095.01179999998</v>
      </c>
      <c r="AN66" s="22">
        <f t="shared" si="33"/>
        <v>0</v>
      </c>
      <c r="AO66" s="22">
        <f t="shared" si="34"/>
        <v>941408.07551999984</v>
      </c>
      <c r="AP66" s="22">
        <f t="shared" si="35"/>
        <v>441285.03539999994</v>
      </c>
      <c r="AQ66" s="22">
        <f t="shared" si="36"/>
        <v>294190.02359999996</v>
      </c>
      <c r="AR66" s="22">
        <f t="shared" si="37"/>
        <v>0</v>
      </c>
      <c r="AS66" s="22">
        <f t="shared" si="38"/>
        <v>588380.04719999991</v>
      </c>
      <c r="AT66" s="22">
        <f t="shared" si="39"/>
        <v>441285.03539999994</v>
      </c>
      <c r="AU66" s="22">
        <f t="shared" si="40"/>
        <v>441285.03539999994</v>
      </c>
      <c r="AV66" s="22">
        <f t="shared" si="41"/>
        <v>0</v>
      </c>
      <c r="AW66" s="22">
        <f t="shared" si="42"/>
        <v>0</v>
      </c>
      <c r="AX66" s="22">
        <f t="shared" si="43"/>
        <v>294190.02359999996</v>
      </c>
      <c r="AY66" s="22">
        <f t="shared" si="44"/>
        <v>294190.02359999996</v>
      </c>
      <c r="AZ66" s="22">
        <f t="shared" si="45"/>
        <v>441285.03539999994</v>
      </c>
      <c r="BA66" s="22">
        <f t="shared" si="46"/>
        <v>294190.02359999996</v>
      </c>
      <c r="BB66" s="22">
        <f t="shared" si="47"/>
        <v>220642.51769999997</v>
      </c>
      <c r="BC66" s="22">
        <f t="shared" si="48"/>
        <v>220642.51769999997</v>
      </c>
      <c r="BD66" s="22">
        <f t="shared" si="49"/>
        <v>220642.51769999997</v>
      </c>
      <c r="BE66" s="22">
        <f t="shared" si="50"/>
        <v>66192.755309999993</v>
      </c>
      <c r="BF66" s="22">
        <f t="shared" si="51"/>
        <v>0</v>
      </c>
      <c r="BG66" s="22">
        <f t="shared" si="52"/>
        <v>220642.51769999997</v>
      </c>
      <c r="BH66" s="22">
        <f t="shared" si="53"/>
        <v>147095.01179999998</v>
      </c>
      <c r="BI66" s="22">
        <f t="shared" si="54"/>
        <v>353028.02831999992</v>
      </c>
      <c r="BJ66" s="19" t="s">
        <v>548</v>
      </c>
      <c r="BK66" s="23" t="s">
        <v>549</v>
      </c>
      <c r="BL66" s="43">
        <f t="shared" si="55"/>
        <v>8200546.9078499982</v>
      </c>
      <c r="BM66" s="39">
        <f t="shared" si="56"/>
        <v>7328460.1499999994</v>
      </c>
    </row>
    <row r="67" spans="1:65" ht="34.5" customHeight="1">
      <c r="A67" s="10" t="s">
        <v>552</v>
      </c>
      <c r="B67" s="23" t="s">
        <v>553</v>
      </c>
      <c r="C67" s="66">
        <v>151</v>
      </c>
      <c r="D67" s="20" t="s">
        <v>554</v>
      </c>
      <c r="E67" s="41">
        <v>4514.78</v>
      </c>
      <c r="F67" s="21">
        <f t="shared" si="57"/>
        <v>451.47800000000001</v>
      </c>
      <c r="G67" s="21">
        <f t="shared" si="58"/>
        <v>85.780820000000006</v>
      </c>
      <c r="H67" s="21">
        <f t="shared" si="59"/>
        <v>5052.0388199999998</v>
      </c>
      <c r="J67" s="10">
        <f t="shared" si="60"/>
        <v>1095</v>
      </c>
      <c r="K67" s="6">
        <v>450</v>
      </c>
      <c r="L67" s="243">
        <v>40</v>
      </c>
      <c r="M67" s="6"/>
      <c r="N67" s="243"/>
      <c r="O67" s="10">
        <v>88</v>
      </c>
      <c r="P67" s="6"/>
      <c r="Q67" s="6">
        <f>40+2</f>
        <v>42</v>
      </c>
      <c r="R67" s="6"/>
      <c r="S67" s="10">
        <v>80</v>
      </c>
      <c r="T67" s="6"/>
      <c r="U67" s="6"/>
      <c r="V67" s="10">
        <v>10</v>
      </c>
      <c r="W67" s="6">
        <v>40</v>
      </c>
      <c r="X67" s="10">
        <v>40</v>
      </c>
      <c r="Y67" s="6">
        <v>40</v>
      </c>
      <c r="Z67" s="6">
        <v>60</v>
      </c>
      <c r="AA67" s="6">
        <v>40</v>
      </c>
      <c r="AB67" s="10"/>
      <c r="AC67" s="6"/>
      <c r="AD67" s="6">
        <v>30</v>
      </c>
      <c r="AE67" s="6">
        <v>30</v>
      </c>
      <c r="AF67" s="6"/>
      <c r="AG67" s="6">
        <v>25</v>
      </c>
      <c r="AH67" s="6">
        <v>20</v>
      </c>
      <c r="AI67" s="6">
        <v>60</v>
      </c>
      <c r="AK67" s="22">
        <f t="shared" ref="AK67:AK130" si="61">+K67*$H67</f>
        <v>2273417.469</v>
      </c>
      <c r="AL67" s="22">
        <f t="shared" ref="AL67:AL130" si="62">+L67*$H67</f>
        <v>202081.5528</v>
      </c>
      <c r="AM67" s="22">
        <f t="shared" ref="AM67:AM130" si="63">+M67*$H67</f>
        <v>0</v>
      </c>
      <c r="AN67" s="22">
        <f t="shared" ref="AN67:AN130" si="64">+N67*$H67</f>
        <v>0</v>
      </c>
      <c r="AO67" s="22">
        <f t="shared" ref="AO67:AO130" si="65">+O67*$H67</f>
        <v>444579.41615999996</v>
      </c>
      <c r="AP67" s="22">
        <f t="shared" ref="AP67:AP130" si="66">+P67*$H67</f>
        <v>0</v>
      </c>
      <c r="AQ67" s="22">
        <f t="shared" ref="AQ67:AQ130" si="67">+Q67*$H67</f>
        <v>212185.63043999998</v>
      </c>
      <c r="AR67" s="22">
        <f t="shared" ref="AR67:AR130" si="68">+R67*$H67</f>
        <v>0</v>
      </c>
      <c r="AS67" s="22">
        <f t="shared" ref="AS67:AS130" si="69">+S67*$H67</f>
        <v>404163.10560000001</v>
      </c>
      <c r="AT67" s="22">
        <f t="shared" ref="AT67:AT130" si="70">+T67*$H67</f>
        <v>0</v>
      </c>
      <c r="AU67" s="22">
        <f t="shared" ref="AU67:AU130" si="71">+U67*$H67</f>
        <v>0</v>
      </c>
      <c r="AV67" s="22">
        <f t="shared" ref="AV67:AV130" si="72">+V67*$H67</f>
        <v>50520.388200000001</v>
      </c>
      <c r="AW67" s="22">
        <f t="shared" ref="AW67:AW130" si="73">+W67*$H67</f>
        <v>202081.5528</v>
      </c>
      <c r="AX67" s="22">
        <f t="shared" ref="AX67:AX130" si="74">+X67*$H67</f>
        <v>202081.5528</v>
      </c>
      <c r="AY67" s="22">
        <f t="shared" ref="AY67:AY130" si="75">+Y67*$H67</f>
        <v>202081.5528</v>
      </c>
      <c r="AZ67" s="22">
        <f t="shared" ref="AZ67:AZ130" si="76">+Z67*$H67</f>
        <v>303122.32919999998</v>
      </c>
      <c r="BA67" s="22">
        <f t="shared" ref="BA67:BA130" si="77">+AA67*$H67</f>
        <v>202081.5528</v>
      </c>
      <c r="BB67" s="22">
        <f t="shared" ref="BB67:BB130" si="78">+AB67*$H67</f>
        <v>0</v>
      </c>
      <c r="BC67" s="22">
        <f t="shared" ref="BC67:BC130" si="79">+AC67*$H67</f>
        <v>0</v>
      </c>
      <c r="BD67" s="22">
        <f t="shared" ref="BD67:BD130" si="80">+AD67*$H67</f>
        <v>151561.16459999999</v>
      </c>
      <c r="BE67" s="22">
        <f t="shared" ref="BE67:BE130" si="81">+AE67*$H67</f>
        <v>151561.16459999999</v>
      </c>
      <c r="BF67" s="22">
        <f t="shared" ref="BF67:BF130" si="82">+AF67*$H67</f>
        <v>0</v>
      </c>
      <c r="BG67" s="22">
        <f t="shared" ref="BG67:BG130" si="83">+AG67*$H67</f>
        <v>126300.9705</v>
      </c>
      <c r="BH67" s="22">
        <f t="shared" ref="BH67:BH130" si="84">+AH67*$H67</f>
        <v>101040.7764</v>
      </c>
      <c r="BI67" s="22">
        <f t="shared" ref="BI67:BI130" si="85">+AI67*$H67</f>
        <v>303122.32919999998</v>
      </c>
      <c r="BJ67" s="19" t="s">
        <v>552</v>
      </c>
      <c r="BK67" s="23" t="s">
        <v>553</v>
      </c>
      <c r="BL67" s="43">
        <f t="shared" ref="BL67:BL129" si="86">+H67*J67</f>
        <v>5531982.5078999996</v>
      </c>
      <c r="BM67" s="39">
        <f t="shared" ref="BM67:BM129" si="87">+E67*J67</f>
        <v>4943684.0999999996</v>
      </c>
    </row>
    <row r="68" spans="1:65" ht="34.5" customHeight="1">
      <c r="A68" s="10" t="s">
        <v>552</v>
      </c>
      <c r="B68" s="23" t="s">
        <v>553</v>
      </c>
      <c r="C68" s="66">
        <v>152</v>
      </c>
      <c r="D68" s="20" t="s">
        <v>555</v>
      </c>
      <c r="E68" s="41">
        <v>1590.04</v>
      </c>
      <c r="F68" s="21">
        <f t="shared" ref="F68:F100" si="88">+E68*10%</f>
        <v>159.00400000000002</v>
      </c>
      <c r="G68" s="21">
        <f t="shared" ref="G68:G100" si="89">+F68*19%</f>
        <v>30.210760000000004</v>
      </c>
      <c r="H68" s="21">
        <f t="shared" ref="H68:H100" si="90">+E68+F68+G68</f>
        <v>1779.2547599999998</v>
      </c>
      <c r="J68" s="10">
        <f t="shared" si="60"/>
        <v>20</v>
      </c>
      <c r="K68" s="6"/>
      <c r="L68" s="6"/>
      <c r="M68" s="6"/>
      <c r="N68" s="243"/>
      <c r="O68" s="6"/>
      <c r="P68" s="6"/>
      <c r="Q68" s="6"/>
      <c r="R68" s="6"/>
      <c r="S68" s="6"/>
      <c r="T68" s="6"/>
      <c r="U68" s="6"/>
      <c r="V68" s="6"/>
      <c r="W68" s="6"/>
      <c r="X68" s="6"/>
      <c r="Y68" s="6"/>
      <c r="Z68" s="6"/>
      <c r="AA68" s="6"/>
      <c r="AB68" s="6">
        <v>20</v>
      </c>
      <c r="AC68" s="6"/>
      <c r="AD68" s="6"/>
      <c r="AE68" s="6"/>
      <c r="AF68" s="6"/>
      <c r="AG68" s="6"/>
      <c r="AH68" s="6"/>
      <c r="AI68" s="6"/>
      <c r="AK68" s="22">
        <f t="shared" si="61"/>
        <v>0</v>
      </c>
      <c r="AL68" s="22">
        <f t="shared" si="62"/>
        <v>0</v>
      </c>
      <c r="AM68" s="22">
        <f t="shared" si="63"/>
        <v>0</v>
      </c>
      <c r="AN68" s="22">
        <f t="shared" si="64"/>
        <v>0</v>
      </c>
      <c r="AO68" s="22">
        <f t="shared" si="65"/>
        <v>0</v>
      </c>
      <c r="AP68" s="22">
        <f t="shared" si="66"/>
        <v>0</v>
      </c>
      <c r="AQ68" s="22">
        <f t="shared" si="67"/>
        <v>0</v>
      </c>
      <c r="AR68" s="22">
        <f t="shared" si="68"/>
        <v>0</v>
      </c>
      <c r="AS68" s="22">
        <f t="shared" si="69"/>
        <v>0</v>
      </c>
      <c r="AT68" s="22">
        <f t="shared" si="70"/>
        <v>0</v>
      </c>
      <c r="AU68" s="22">
        <f t="shared" si="71"/>
        <v>0</v>
      </c>
      <c r="AV68" s="22">
        <f t="shared" si="72"/>
        <v>0</v>
      </c>
      <c r="AW68" s="22">
        <f t="shared" si="73"/>
        <v>0</v>
      </c>
      <c r="AX68" s="22">
        <f t="shared" si="74"/>
        <v>0</v>
      </c>
      <c r="AY68" s="22">
        <f t="shared" si="75"/>
        <v>0</v>
      </c>
      <c r="AZ68" s="22">
        <f t="shared" si="76"/>
        <v>0</v>
      </c>
      <c r="BA68" s="22">
        <f t="shared" si="77"/>
        <v>0</v>
      </c>
      <c r="BB68" s="22">
        <f t="shared" si="78"/>
        <v>35585.095199999996</v>
      </c>
      <c r="BC68" s="22">
        <f t="shared" si="79"/>
        <v>0</v>
      </c>
      <c r="BD68" s="22">
        <f t="shared" si="80"/>
        <v>0</v>
      </c>
      <c r="BE68" s="22">
        <f t="shared" si="81"/>
        <v>0</v>
      </c>
      <c r="BF68" s="22">
        <f t="shared" si="82"/>
        <v>0</v>
      </c>
      <c r="BG68" s="22">
        <f t="shared" si="83"/>
        <v>0</v>
      </c>
      <c r="BH68" s="22">
        <f t="shared" si="84"/>
        <v>0</v>
      </c>
      <c r="BI68" s="22">
        <f t="shared" si="85"/>
        <v>0</v>
      </c>
      <c r="BJ68" s="19" t="s">
        <v>552</v>
      </c>
      <c r="BK68" s="23" t="s">
        <v>553</v>
      </c>
      <c r="BL68" s="43">
        <f t="shared" si="86"/>
        <v>35585.095199999996</v>
      </c>
      <c r="BM68" s="39">
        <f t="shared" si="87"/>
        <v>31800.799999999999</v>
      </c>
    </row>
    <row r="69" spans="1:65" ht="34.5" customHeight="1">
      <c r="A69" s="10" t="s">
        <v>556</v>
      </c>
      <c r="B69" s="23" t="s">
        <v>557</v>
      </c>
      <c r="C69" s="66">
        <v>154</v>
      </c>
      <c r="D69" s="20" t="s">
        <v>558</v>
      </c>
      <c r="E69" s="41">
        <v>2306.2199999999998</v>
      </c>
      <c r="F69" s="21">
        <f t="shared" si="88"/>
        <v>230.62199999999999</v>
      </c>
      <c r="G69" s="21">
        <f t="shared" si="89"/>
        <v>43.818179999999998</v>
      </c>
      <c r="H69" s="21">
        <f t="shared" si="90"/>
        <v>2580.6601799999999</v>
      </c>
      <c r="J69" s="10">
        <f t="shared" si="60"/>
        <v>5</v>
      </c>
      <c r="K69" s="6">
        <v>5</v>
      </c>
      <c r="L69" s="6"/>
      <c r="M69" s="6"/>
      <c r="N69" s="243"/>
      <c r="O69" s="6"/>
      <c r="P69" s="6"/>
      <c r="Q69" s="6"/>
      <c r="R69" s="6"/>
      <c r="S69" s="6"/>
      <c r="T69" s="6"/>
      <c r="U69" s="6"/>
      <c r="V69" s="6"/>
      <c r="W69" s="6"/>
      <c r="X69" s="6"/>
      <c r="Y69" s="6"/>
      <c r="Z69" s="6"/>
      <c r="AA69" s="6"/>
      <c r="AB69" s="6"/>
      <c r="AC69" s="6"/>
      <c r="AD69" s="6"/>
      <c r="AE69" s="6"/>
      <c r="AF69" s="6"/>
      <c r="AG69" s="6"/>
      <c r="AH69" s="6"/>
      <c r="AI69" s="6"/>
      <c r="AK69" s="22">
        <f t="shared" si="61"/>
        <v>12903.300899999998</v>
      </c>
      <c r="AL69" s="22">
        <f t="shared" si="62"/>
        <v>0</v>
      </c>
      <c r="AM69" s="22">
        <f t="shared" si="63"/>
        <v>0</v>
      </c>
      <c r="AN69" s="22">
        <f t="shared" si="64"/>
        <v>0</v>
      </c>
      <c r="AO69" s="22">
        <f t="shared" si="65"/>
        <v>0</v>
      </c>
      <c r="AP69" s="22">
        <f t="shared" si="66"/>
        <v>0</v>
      </c>
      <c r="AQ69" s="22">
        <f t="shared" si="67"/>
        <v>0</v>
      </c>
      <c r="AR69" s="22">
        <f t="shared" si="68"/>
        <v>0</v>
      </c>
      <c r="AS69" s="22">
        <f t="shared" si="69"/>
        <v>0</v>
      </c>
      <c r="AT69" s="22">
        <f t="shared" si="70"/>
        <v>0</v>
      </c>
      <c r="AU69" s="22">
        <f t="shared" si="71"/>
        <v>0</v>
      </c>
      <c r="AV69" s="22">
        <f t="shared" si="72"/>
        <v>0</v>
      </c>
      <c r="AW69" s="22">
        <f t="shared" si="73"/>
        <v>0</v>
      </c>
      <c r="AX69" s="22">
        <f t="shared" si="74"/>
        <v>0</v>
      </c>
      <c r="AY69" s="22">
        <f t="shared" si="75"/>
        <v>0</v>
      </c>
      <c r="AZ69" s="22">
        <f t="shared" si="76"/>
        <v>0</v>
      </c>
      <c r="BA69" s="22">
        <f t="shared" si="77"/>
        <v>0</v>
      </c>
      <c r="BB69" s="22">
        <f t="shared" si="78"/>
        <v>0</v>
      </c>
      <c r="BC69" s="22">
        <f t="shared" si="79"/>
        <v>0</v>
      </c>
      <c r="BD69" s="22">
        <f t="shared" si="80"/>
        <v>0</v>
      </c>
      <c r="BE69" s="22">
        <f t="shared" si="81"/>
        <v>0</v>
      </c>
      <c r="BF69" s="22">
        <f t="shared" si="82"/>
        <v>0</v>
      </c>
      <c r="BG69" s="22">
        <f t="shared" si="83"/>
        <v>0</v>
      </c>
      <c r="BH69" s="22">
        <f t="shared" si="84"/>
        <v>0</v>
      </c>
      <c r="BI69" s="22">
        <f t="shared" si="85"/>
        <v>0</v>
      </c>
      <c r="BJ69" s="19" t="s">
        <v>556</v>
      </c>
      <c r="BK69" s="23" t="s">
        <v>557</v>
      </c>
      <c r="BL69" s="43">
        <f t="shared" si="86"/>
        <v>12903.300899999998</v>
      </c>
      <c r="BM69" s="39">
        <f t="shared" si="87"/>
        <v>11531.099999999999</v>
      </c>
    </row>
    <row r="70" spans="1:65" ht="34.5" customHeight="1">
      <c r="A70" s="10" t="s">
        <v>559</v>
      </c>
      <c r="B70" s="10" t="s">
        <v>560</v>
      </c>
      <c r="C70" s="66">
        <v>156</v>
      </c>
      <c r="D70" s="20" t="s">
        <v>561</v>
      </c>
      <c r="E70" s="41">
        <v>4156.12</v>
      </c>
      <c r="F70" s="21">
        <f t="shared" si="88"/>
        <v>415.61200000000002</v>
      </c>
      <c r="G70" s="21">
        <f t="shared" si="89"/>
        <v>78.966280000000012</v>
      </c>
      <c r="H70" s="21">
        <f t="shared" si="90"/>
        <v>4650.6982799999996</v>
      </c>
      <c r="J70" s="10">
        <f t="shared" si="60"/>
        <v>301</v>
      </c>
      <c r="K70" s="6">
        <v>50</v>
      </c>
      <c r="L70" s="243">
        <v>4</v>
      </c>
      <c r="M70" s="6">
        <v>4</v>
      </c>
      <c r="N70" s="243"/>
      <c r="O70" s="10">
        <v>44</v>
      </c>
      <c r="P70" s="6">
        <v>4</v>
      </c>
      <c r="Q70" s="6"/>
      <c r="R70" s="6">
        <v>4</v>
      </c>
      <c r="S70" s="6">
        <v>10</v>
      </c>
      <c r="T70" s="6">
        <v>4</v>
      </c>
      <c r="U70" s="6">
        <v>4</v>
      </c>
      <c r="V70" s="6">
        <v>5</v>
      </c>
      <c r="W70" s="6">
        <v>4</v>
      </c>
      <c r="X70" s="6">
        <v>10</v>
      </c>
      <c r="Y70" s="6">
        <v>2</v>
      </c>
      <c r="Z70" s="6">
        <v>60</v>
      </c>
      <c r="AA70" s="6">
        <v>2</v>
      </c>
      <c r="AB70" s="6">
        <v>30</v>
      </c>
      <c r="AC70" s="6"/>
      <c r="AD70" s="6"/>
      <c r="AE70" s="6"/>
      <c r="AF70" s="6"/>
      <c r="AG70" s="6">
        <v>30</v>
      </c>
      <c r="AH70" s="6">
        <v>30</v>
      </c>
      <c r="AI70" s="6"/>
      <c r="AK70" s="22">
        <f t="shared" si="61"/>
        <v>232534.91399999999</v>
      </c>
      <c r="AL70" s="22">
        <f t="shared" si="62"/>
        <v>18602.793119999998</v>
      </c>
      <c r="AM70" s="22">
        <f t="shared" si="63"/>
        <v>18602.793119999998</v>
      </c>
      <c r="AN70" s="22">
        <f t="shared" si="64"/>
        <v>0</v>
      </c>
      <c r="AO70" s="22">
        <f t="shared" si="65"/>
        <v>204630.72431999998</v>
      </c>
      <c r="AP70" s="22">
        <f t="shared" si="66"/>
        <v>18602.793119999998</v>
      </c>
      <c r="AQ70" s="22">
        <f t="shared" si="67"/>
        <v>0</v>
      </c>
      <c r="AR70" s="22">
        <f t="shared" si="68"/>
        <v>18602.793119999998</v>
      </c>
      <c r="AS70" s="22">
        <f t="shared" si="69"/>
        <v>46506.982799999998</v>
      </c>
      <c r="AT70" s="22">
        <f t="shared" si="70"/>
        <v>18602.793119999998</v>
      </c>
      <c r="AU70" s="22">
        <f t="shared" si="71"/>
        <v>18602.793119999998</v>
      </c>
      <c r="AV70" s="22">
        <f t="shared" si="72"/>
        <v>23253.491399999999</v>
      </c>
      <c r="AW70" s="22">
        <f t="shared" si="73"/>
        <v>18602.793119999998</v>
      </c>
      <c r="AX70" s="22">
        <f t="shared" si="74"/>
        <v>46506.982799999998</v>
      </c>
      <c r="AY70" s="22">
        <f t="shared" si="75"/>
        <v>9301.3965599999992</v>
      </c>
      <c r="AZ70" s="22">
        <f t="shared" si="76"/>
        <v>279041.89679999999</v>
      </c>
      <c r="BA70" s="22">
        <f t="shared" si="77"/>
        <v>9301.3965599999992</v>
      </c>
      <c r="BB70" s="22">
        <f t="shared" si="78"/>
        <v>139520.94839999999</v>
      </c>
      <c r="BC70" s="22">
        <f t="shared" si="79"/>
        <v>0</v>
      </c>
      <c r="BD70" s="22">
        <f t="shared" si="80"/>
        <v>0</v>
      </c>
      <c r="BE70" s="22">
        <f t="shared" si="81"/>
        <v>0</v>
      </c>
      <c r="BF70" s="22">
        <f t="shared" si="82"/>
        <v>0</v>
      </c>
      <c r="BG70" s="22">
        <f t="shared" si="83"/>
        <v>139520.94839999999</v>
      </c>
      <c r="BH70" s="22">
        <f t="shared" si="84"/>
        <v>139520.94839999999</v>
      </c>
      <c r="BI70" s="22">
        <f t="shared" si="85"/>
        <v>0</v>
      </c>
      <c r="BJ70" s="19" t="s">
        <v>559</v>
      </c>
      <c r="BK70" s="19" t="s">
        <v>560</v>
      </c>
      <c r="BL70" s="43">
        <f t="shared" si="86"/>
        <v>1399860.1822799998</v>
      </c>
      <c r="BM70" s="39">
        <f t="shared" si="87"/>
        <v>1250992.1199999999</v>
      </c>
    </row>
    <row r="71" spans="1:65" ht="34.5" customHeight="1">
      <c r="A71" s="10" t="s">
        <v>559</v>
      </c>
      <c r="B71" s="10" t="s">
        <v>560</v>
      </c>
      <c r="C71" s="66">
        <v>157</v>
      </c>
      <c r="D71" s="20" t="s">
        <v>562</v>
      </c>
      <c r="E71" s="41">
        <v>6196.84</v>
      </c>
      <c r="F71" s="21">
        <f t="shared" si="88"/>
        <v>619.68400000000008</v>
      </c>
      <c r="G71" s="21">
        <f t="shared" si="89"/>
        <v>117.73996000000001</v>
      </c>
      <c r="H71" s="21">
        <f t="shared" si="90"/>
        <v>6934.2639600000002</v>
      </c>
      <c r="J71" s="10">
        <f t="shared" si="60"/>
        <v>0</v>
      </c>
      <c r="K71" s="6"/>
      <c r="L71" s="6"/>
      <c r="M71" s="6"/>
      <c r="N71" s="243"/>
      <c r="O71" s="6"/>
      <c r="P71" s="6"/>
      <c r="Q71" s="6"/>
      <c r="R71" s="6"/>
      <c r="S71" s="6"/>
      <c r="T71" s="6"/>
      <c r="U71" s="6"/>
      <c r="V71" s="6"/>
      <c r="W71" s="6"/>
      <c r="X71" s="6"/>
      <c r="Y71" s="6"/>
      <c r="Z71" s="6"/>
      <c r="AA71" s="6"/>
      <c r="AB71" s="6"/>
      <c r="AC71" s="6"/>
      <c r="AD71" s="6"/>
      <c r="AE71" s="6"/>
      <c r="AF71" s="6"/>
      <c r="AG71" s="6"/>
      <c r="AH71" s="6"/>
      <c r="AI71" s="6"/>
      <c r="AK71" s="22">
        <f t="shared" si="61"/>
        <v>0</v>
      </c>
      <c r="AL71" s="22">
        <f t="shared" si="62"/>
        <v>0</v>
      </c>
      <c r="AM71" s="22">
        <f t="shared" si="63"/>
        <v>0</v>
      </c>
      <c r="AN71" s="22">
        <f t="shared" si="64"/>
        <v>0</v>
      </c>
      <c r="AO71" s="22">
        <f t="shared" si="65"/>
        <v>0</v>
      </c>
      <c r="AP71" s="22">
        <f t="shared" si="66"/>
        <v>0</v>
      </c>
      <c r="AQ71" s="22">
        <f t="shared" si="67"/>
        <v>0</v>
      </c>
      <c r="AR71" s="22">
        <f t="shared" si="68"/>
        <v>0</v>
      </c>
      <c r="AS71" s="22">
        <f t="shared" si="69"/>
        <v>0</v>
      </c>
      <c r="AT71" s="22">
        <f t="shared" si="70"/>
        <v>0</v>
      </c>
      <c r="AU71" s="22">
        <f t="shared" si="71"/>
        <v>0</v>
      </c>
      <c r="AV71" s="22">
        <f t="shared" si="72"/>
        <v>0</v>
      </c>
      <c r="AW71" s="22">
        <f t="shared" si="73"/>
        <v>0</v>
      </c>
      <c r="AX71" s="22">
        <f t="shared" si="74"/>
        <v>0</v>
      </c>
      <c r="AY71" s="22">
        <f t="shared" si="75"/>
        <v>0</v>
      </c>
      <c r="AZ71" s="22">
        <f t="shared" si="76"/>
        <v>0</v>
      </c>
      <c r="BA71" s="22">
        <f t="shared" si="77"/>
        <v>0</v>
      </c>
      <c r="BB71" s="22">
        <f t="shared" si="78"/>
        <v>0</v>
      </c>
      <c r="BC71" s="22">
        <f t="shared" si="79"/>
        <v>0</v>
      </c>
      <c r="BD71" s="22">
        <f t="shared" si="80"/>
        <v>0</v>
      </c>
      <c r="BE71" s="22">
        <f t="shared" si="81"/>
        <v>0</v>
      </c>
      <c r="BF71" s="22">
        <f t="shared" si="82"/>
        <v>0</v>
      </c>
      <c r="BG71" s="22">
        <f t="shared" si="83"/>
        <v>0</v>
      </c>
      <c r="BH71" s="22">
        <f t="shared" si="84"/>
        <v>0</v>
      </c>
      <c r="BI71" s="22">
        <f t="shared" si="85"/>
        <v>0</v>
      </c>
      <c r="BJ71" s="19" t="s">
        <v>559</v>
      </c>
      <c r="BK71" s="19" t="s">
        <v>560</v>
      </c>
      <c r="BL71" s="43">
        <f t="shared" si="86"/>
        <v>0</v>
      </c>
      <c r="BM71" s="39">
        <f t="shared" si="87"/>
        <v>0</v>
      </c>
    </row>
    <row r="72" spans="1:65" ht="34.5" customHeight="1">
      <c r="A72" s="10" t="s">
        <v>559</v>
      </c>
      <c r="B72" s="10" t="s">
        <v>560</v>
      </c>
      <c r="C72" s="66">
        <v>158</v>
      </c>
      <c r="D72" s="20" t="s">
        <v>563</v>
      </c>
      <c r="E72" s="41">
        <v>6332.21</v>
      </c>
      <c r="F72" s="21">
        <f t="shared" si="88"/>
        <v>633.221</v>
      </c>
      <c r="G72" s="21">
        <f t="shared" si="89"/>
        <v>120.31199000000001</v>
      </c>
      <c r="H72" s="21">
        <f t="shared" si="90"/>
        <v>7085.7429900000006</v>
      </c>
      <c r="J72" s="10">
        <f t="shared" si="60"/>
        <v>202</v>
      </c>
      <c r="K72" s="6">
        <v>50</v>
      </c>
      <c r="L72" s="6">
        <v>4</v>
      </c>
      <c r="M72" s="6">
        <v>4</v>
      </c>
      <c r="N72" s="243"/>
      <c r="O72" s="6"/>
      <c r="P72" s="6"/>
      <c r="Q72" s="6">
        <v>4</v>
      </c>
      <c r="R72" s="6"/>
      <c r="S72" s="6">
        <v>10</v>
      </c>
      <c r="T72" s="6">
        <v>4</v>
      </c>
      <c r="U72" s="6">
        <v>4</v>
      </c>
      <c r="V72" s="6">
        <v>15</v>
      </c>
      <c r="W72" s="6"/>
      <c r="X72" s="6">
        <v>10</v>
      </c>
      <c r="Y72" s="6">
        <v>2</v>
      </c>
      <c r="Z72" s="6">
        <v>9</v>
      </c>
      <c r="AA72" s="6"/>
      <c r="AB72" s="6">
        <v>30</v>
      </c>
      <c r="AC72" s="6"/>
      <c r="AD72" s="6"/>
      <c r="AE72" s="6"/>
      <c r="AF72" s="6"/>
      <c r="AG72" s="6"/>
      <c r="AH72" s="6">
        <v>20</v>
      </c>
      <c r="AI72" s="241">
        <f>30+6</f>
        <v>36</v>
      </c>
      <c r="AK72" s="22">
        <f t="shared" si="61"/>
        <v>354287.14950000006</v>
      </c>
      <c r="AL72" s="22">
        <f t="shared" si="62"/>
        <v>28342.971960000003</v>
      </c>
      <c r="AM72" s="22">
        <f t="shared" si="63"/>
        <v>28342.971960000003</v>
      </c>
      <c r="AN72" s="22">
        <f t="shared" si="64"/>
        <v>0</v>
      </c>
      <c r="AO72" s="22">
        <f t="shared" si="65"/>
        <v>0</v>
      </c>
      <c r="AP72" s="22">
        <f t="shared" si="66"/>
        <v>0</v>
      </c>
      <c r="AQ72" s="22">
        <f t="shared" si="67"/>
        <v>28342.971960000003</v>
      </c>
      <c r="AR72" s="22">
        <f t="shared" si="68"/>
        <v>0</v>
      </c>
      <c r="AS72" s="22">
        <f t="shared" si="69"/>
        <v>70857.429900000003</v>
      </c>
      <c r="AT72" s="22">
        <f t="shared" si="70"/>
        <v>28342.971960000003</v>
      </c>
      <c r="AU72" s="22">
        <f t="shared" si="71"/>
        <v>28342.971960000003</v>
      </c>
      <c r="AV72" s="22">
        <f t="shared" si="72"/>
        <v>106286.14485000001</v>
      </c>
      <c r="AW72" s="22">
        <f t="shared" si="73"/>
        <v>0</v>
      </c>
      <c r="AX72" s="22">
        <f t="shared" si="74"/>
        <v>70857.429900000003</v>
      </c>
      <c r="AY72" s="22">
        <f t="shared" si="75"/>
        <v>14171.485980000001</v>
      </c>
      <c r="AZ72" s="22">
        <f t="shared" si="76"/>
        <v>63771.686910000004</v>
      </c>
      <c r="BA72" s="22">
        <f t="shared" si="77"/>
        <v>0</v>
      </c>
      <c r="BB72" s="22">
        <f t="shared" si="78"/>
        <v>212572.28970000002</v>
      </c>
      <c r="BC72" s="22">
        <f t="shared" si="79"/>
        <v>0</v>
      </c>
      <c r="BD72" s="22">
        <f t="shared" si="80"/>
        <v>0</v>
      </c>
      <c r="BE72" s="22">
        <f t="shared" si="81"/>
        <v>0</v>
      </c>
      <c r="BF72" s="22">
        <f t="shared" si="82"/>
        <v>0</v>
      </c>
      <c r="BG72" s="22">
        <f t="shared" si="83"/>
        <v>0</v>
      </c>
      <c r="BH72" s="22">
        <f t="shared" si="84"/>
        <v>141714.85980000001</v>
      </c>
      <c r="BI72" s="22">
        <f t="shared" si="85"/>
        <v>255086.74764000002</v>
      </c>
      <c r="BJ72" s="19" t="s">
        <v>559</v>
      </c>
      <c r="BK72" s="19" t="s">
        <v>560</v>
      </c>
      <c r="BL72" s="43">
        <f t="shared" si="86"/>
        <v>1431320.0839800001</v>
      </c>
      <c r="BM72" s="39">
        <f t="shared" si="87"/>
        <v>1279106.42</v>
      </c>
    </row>
    <row r="73" spans="1:65" ht="56.25">
      <c r="A73" s="10" t="s">
        <v>564</v>
      </c>
      <c r="B73" s="10" t="s">
        <v>565</v>
      </c>
      <c r="C73" s="66">
        <v>159</v>
      </c>
      <c r="D73" s="20" t="s">
        <v>566</v>
      </c>
      <c r="E73" s="41">
        <v>1911.57</v>
      </c>
      <c r="F73" s="21">
        <f t="shared" si="88"/>
        <v>191.15700000000001</v>
      </c>
      <c r="G73" s="21">
        <f t="shared" si="89"/>
        <v>36.319830000000003</v>
      </c>
      <c r="H73" s="21">
        <f t="shared" si="90"/>
        <v>2139.0468299999998</v>
      </c>
      <c r="J73" s="10">
        <f t="shared" si="60"/>
        <v>76</v>
      </c>
      <c r="K73" s="197">
        <v>15</v>
      </c>
      <c r="L73" s="197"/>
      <c r="M73" s="197"/>
      <c r="N73" s="245"/>
      <c r="O73" s="10">
        <v>9</v>
      </c>
      <c r="P73" s="197">
        <v>2</v>
      </c>
      <c r="Q73" s="197">
        <v>4</v>
      </c>
      <c r="R73" s="197"/>
      <c r="S73" s="197"/>
      <c r="T73" s="197">
        <v>4</v>
      </c>
      <c r="U73" s="197">
        <v>4</v>
      </c>
      <c r="V73" s="197"/>
      <c r="W73" s="197"/>
      <c r="X73" s="197">
        <v>1</v>
      </c>
      <c r="Y73" s="197">
        <v>2</v>
      </c>
      <c r="Z73" s="197">
        <v>8</v>
      </c>
      <c r="AA73" s="197">
        <v>2</v>
      </c>
      <c r="AB73" s="197">
        <v>10</v>
      </c>
      <c r="AC73" s="197"/>
      <c r="AD73" s="197"/>
      <c r="AE73" s="197">
        <v>7</v>
      </c>
      <c r="AF73" s="197">
        <v>3</v>
      </c>
      <c r="AG73" s="197"/>
      <c r="AH73" s="197">
        <v>5</v>
      </c>
      <c r="AI73" s="197"/>
      <c r="AK73" s="22">
        <f t="shared" si="61"/>
        <v>32085.702449999997</v>
      </c>
      <c r="AL73" s="22">
        <f t="shared" si="62"/>
        <v>0</v>
      </c>
      <c r="AM73" s="22">
        <f t="shared" si="63"/>
        <v>0</v>
      </c>
      <c r="AN73" s="22">
        <f t="shared" si="64"/>
        <v>0</v>
      </c>
      <c r="AO73" s="22">
        <f t="shared" si="65"/>
        <v>19251.421469999997</v>
      </c>
      <c r="AP73" s="22">
        <f t="shared" si="66"/>
        <v>4278.0936599999995</v>
      </c>
      <c r="AQ73" s="22">
        <f t="shared" si="67"/>
        <v>8556.1873199999991</v>
      </c>
      <c r="AR73" s="22">
        <f t="shared" si="68"/>
        <v>0</v>
      </c>
      <c r="AS73" s="22">
        <f t="shared" si="69"/>
        <v>0</v>
      </c>
      <c r="AT73" s="22">
        <f t="shared" si="70"/>
        <v>8556.1873199999991</v>
      </c>
      <c r="AU73" s="22">
        <f t="shared" si="71"/>
        <v>8556.1873199999991</v>
      </c>
      <c r="AV73" s="22">
        <f t="shared" si="72"/>
        <v>0</v>
      </c>
      <c r="AW73" s="22">
        <f t="shared" si="73"/>
        <v>0</v>
      </c>
      <c r="AX73" s="22">
        <f t="shared" si="74"/>
        <v>2139.0468299999998</v>
      </c>
      <c r="AY73" s="22">
        <f t="shared" si="75"/>
        <v>4278.0936599999995</v>
      </c>
      <c r="AZ73" s="22">
        <f t="shared" si="76"/>
        <v>17112.374639999998</v>
      </c>
      <c r="BA73" s="22">
        <f t="shared" si="77"/>
        <v>4278.0936599999995</v>
      </c>
      <c r="BB73" s="22">
        <f t="shared" si="78"/>
        <v>21390.468299999997</v>
      </c>
      <c r="BC73" s="22">
        <f t="shared" si="79"/>
        <v>0</v>
      </c>
      <c r="BD73" s="22">
        <f t="shared" si="80"/>
        <v>0</v>
      </c>
      <c r="BE73" s="22">
        <f t="shared" si="81"/>
        <v>14973.327809999999</v>
      </c>
      <c r="BF73" s="22">
        <f t="shared" si="82"/>
        <v>6417.1404899999998</v>
      </c>
      <c r="BG73" s="22">
        <f t="shared" si="83"/>
        <v>0</v>
      </c>
      <c r="BH73" s="22">
        <f t="shared" si="84"/>
        <v>10695.234149999998</v>
      </c>
      <c r="BI73" s="22">
        <f t="shared" si="85"/>
        <v>0</v>
      </c>
      <c r="BJ73" s="19" t="s">
        <v>564</v>
      </c>
      <c r="BK73" s="19" t="s">
        <v>565</v>
      </c>
      <c r="BL73" s="43">
        <f t="shared" si="86"/>
        <v>162567.55907999998</v>
      </c>
      <c r="BM73" s="39">
        <f t="shared" si="87"/>
        <v>145279.32</v>
      </c>
    </row>
    <row r="74" spans="1:65" ht="45">
      <c r="A74" s="10" t="s">
        <v>567</v>
      </c>
      <c r="B74" s="24" t="s">
        <v>568</v>
      </c>
      <c r="C74" s="66">
        <v>160</v>
      </c>
      <c r="D74" s="20" t="s">
        <v>569</v>
      </c>
      <c r="E74" s="41">
        <v>1520.33</v>
      </c>
      <c r="F74" s="21">
        <f t="shared" si="88"/>
        <v>152.03299999999999</v>
      </c>
      <c r="G74" s="21">
        <f t="shared" si="89"/>
        <v>28.886269999999996</v>
      </c>
      <c r="H74" s="21">
        <f t="shared" si="90"/>
        <v>1701.2492699999998</v>
      </c>
      <c r="J74" s="10">
        <f t="shared" si="60"/>
        <v>50</v>
      </c>
      <c r="K74" s="6">
        <v>50</v>
      </c>
      <c r="L74" s="6"/>
      <c r="M74" s="6"/>
      <c r="N74" s="243"/>
      <c r="O74" s="6"/>
      <c r="P74" s="6"/>
      <c r="Q74" s="6"/>
      <c r="R74" s="6"/>
      <c r="S74" s="6"/>
      <c r="T74" s="6"/>
      <c r="U74" s="6"/>
      <c r="V74" s="6"/>
      <c r="W74" s="6"/>
      <c r="X74" s="6"/>
      <c r="Y74" s="6"/>
      <c r="Z74" s="6"/>
      <c r="AA74" s="6"/>
      <c r="AB74" s="6"/>
      <c r="AC74" s="6"/>
      <c r="AD74" s="6"/>
      <c r="AE74" s="6"/>
      <c r="AF74" s="6"/>
      <c r="AG74" s="6"/>
      <c r="AH74" s="6"/>
      <c r="AI74" s="6"/>
      <c r="AK74" s="22">
        <f t="shared" si="61"/>
        <v>85062.463499999983</v>
      </c>
      <c r="AL74" s="22">
        <f t="shared" si="62"/>
        <v>0</v>
      </c>
      <c r="AM74" s="22">
        <f t="shared" si="63"/>
        <v>0</v>
      </c>
      <c r="AN74" s="22">
        <f t="shared" si="64"/>
        <v>0</v>
      </c>
      <c r="AO74" s="22">
        <f t="shared" si="65"/>
        <v>0</v>
      </c>
      <c r="AP74" s="22">
        <f t="shared" si="66"/>
        <v>0</v>
      </c>
      <c r="AQ74" s="22">
        <f t="shared" si="67"/>
        <v>0</v>
      </c>
      <c r="AR74" s="22">
        <f t="shared" si="68"/>
        <v>0</v>
      </c>
      <c r="AS74" s="22">
        <f t="shared" si="69"/>
        <v>0</v>
      </c>
      <c r="AT74" s="22">
        <f t="shared" si="70"/>
        <v>0</v>
      </c>
      <c r="AU74" s="22">
        <f t="shared" si="71"/>
        <v>0</v>
      </c>
      <c r="AV74" s="22">
        <f t="shared" si="72"/>
        <v>0</v>
      </c>
      <c r="AW74" s="22">
        <f t="shared" si="73"/>
        <v>0</v>
      </c>
      <c r="AX74" s="22">
        <f t="shared" si="74"/>
        <v>0</v>
      </c>
      <c r="AY74" s="22">
        <f t="shared" si="75"/>
        <v>0</v>
      </c>
      <c r="AZ74" s="22">
        <f t="shared" si="76"/>
        <v>0</v>
      </c>
      <c r="BA74" s="22">
        <f t="shared" si="77"/>
        <v>0</v>
      </c>
      <c r="BB74" s="22">
        <f t="shared" si="78"/>
        <v>0</v>
      </c>
      <c r="BC74" s="22">
        <f t="shared" si="79"/>
        <v>0</v>
      </c>
      <c r="BD74" s="22">
        <f t="shared" si="80"/>
        <v>0</v>
      </c>
      <c r="BE74" s="22">
        <f t="shared" si="81"/>
        <v>0</v>
      </c>
      <c r="BF74" s="22">
        <f t="shared" si="82"/>
        <v>0</v>
      </c>
      <c r="BG74" s="22">
        <f t="shared" si="83"/>
        <v>0</v>
      </c>
      <c r="BH74" s="22">
        <f t="shared" si="84"/>
        <v>0</v>
      </c>
      <c r="BI74" s="22">
        <f t="shared" si="85"/>
        <v>0</v>
      </c>
      <c r="BJ74" s="19" t="s">
        <v>567</v>
      </c>
      <c r="BK74" s="25" t="s">
        <v>568</v>
      </c>
      <c r="BL74" s="43">
        <f t="shared" si="86"/>
        <v>85062.463499999983</v>
      </c>
      <c r="BM74" s="39">
        <f t="shared" si="87"/>
        <v>76016.5</v>
      </c>
    </row>
    <row r="75" spans="1:65" ht="45">
      <c r="A75" s="10" t="s">
        <v>570</v>
      </c>
      <c r="B75" s="23" t="s">
        <v>571</v>
      </c>
      <c r="C75" s="66">
        <v>161</v>
      </c>
      <c r="D75" s="20" t="s">
        <v>572</v>
      </c>
      <c r="E75" s="41">
        <v>2051.4499999999998</v>
      </c>
      <c r="F75" s="21">
        <f t="shared" si="88"/>
        <v>205.14499999999998</v>
      </c>
      <c r="G75" s="21">
        <f t="shared" si="89"/>
        <v>38.977549999999994</v>
      </c>
      <c r="H75" s="21">
        <f t="shared" si="90"/>
        <v>2295.5725499999999</v>
      </c>
      <c r="J75" s="10">
        <f t="shared" si="60"/>
        <v>59</v>
      </c>
      <c r="K75" s="6"/>
      <c r="L75" s="6"/>
      <c r="M75" s="6"/>
      <c r="N75" s="243"/>
      <c r="O75" s="6"/>
      <c r="P75" s="6"/>
      <c r="Q75" s="6"/>
      <c r="R75" s="6"/>
      <c r="S75" s="6"/>
      <c r="T75" s="6"/>
      <c r="U75" s="6"/>
      <c r="V75" s="6">
        <v>4</v>
      </c>
      <c r="W75" s="6"/>
      <c r="X75" s="6"/>
      <c r="Y75" s="6"/>
      <c r="Z75" s="6">
        <v>50</v>
      </c>
      <c r="AA75" s="6"/>
      <c r="AB75" s="6">
        <v>5</v>
      </c>
      <c r="AC75" s="6"/>
      <c r="AD75" s="6"/>
      <c r="AE75" s="6"/>
      <c r="AF75" s="6"/>
      <c r="AG75" s="6"/>
      <c r="AH75" s="6"/>
      <c r="AI75" s="6"/>
      <c r="AK75" s="22">
        <f t="shared" si="61"/>
        <v>0</v>
      </c>
      <c r="AL75" s="22">
        <f t="shared" si="62"/>
        <v>0</v>
      </c>
      <c r="AM75" s="22">
        <f t="shared" si="63"/>
        <v>0</v>
      </c>
      <c r="AN75" s="22">
        <f t="shared" si="64"/>
        <v>0</v>
      </c>
      <c r="AO75" s="22">
        <f t="shared" si="65"/>
        <v>0</v>
      </c>
      <c r="AP75" s="22">
        <f t="shared" si="66"/>
        <v>0</v>
      </c>
      <c r="AQ75" s="22">
        <f t="shared" si="67"/>
        <v>0</v>
      </c>
      <c r="AR75" s="22">
        <f t="shared" si="68"/>
        <v>0</v>
      </c>
      <c r="AS75" s="22">
        <f t="shared" si="69"/>
        <v>0</v>
      </c>
      <c r="AT75" s="22">
        <f t="shared" si="70"/>
        <v>0</v>
      </c>
      <c r="AU75" s="22">
        <f t="shared" si="71"/>
        <v>0</v>
      </c>
      <c r="AV75" s="22">
        <f t="shared" si="72"/>
        <v>9182.2901999999995</v>
      </c>
      <c r="AW75" s="22">
        <f t="shared" si="73"/>
        <v>0</v>
      </c>
      <c r="AX75" s="22">
        <f t="shared" si="74"/>
        <v>0</v>
      </c>
      <c r="AY75" s="22">
        <f t="shared" si="75"/>
        <v>0</v>
      </c>
      <c r="AZ75" s="22">
        <f t="shared" si="76"/>
        <v>114778.62749999999</v>
      </c>
      <c r="BA75" s="22">
        <f t="shared" si="77"/>
        <v>0</v>
      </c>
      <c r="BB75" s="22">
        <f t="shared" si="78"/>
        <v>11477.86275</v>
      </c>
      <c r="BC75" s="22">
        <f t="shared" si="79"/>
        <v>0</v>
      </c>
      <c r="BD75" s="22">
        <f t="shared" si="80"/>
        <v>0</v>
      </c>
      <c r="BE75" s="22">
        <f t="shared" si="81"/>
        <v>0</v>
      </c>
      <c r="BF75" s="22">
        <f t="shared" si="82"/>
        <v>0</v>
      </c>
      <c r="BG75" s="22">
        <f t="shared" si="83"/>
        <v>0</v>
      </c>
      <c r="BH75" s="22">
        <f t="shared" si="84"/>
        <v>0</v>
      </c>
      <c r="BI75" s="22">
        <f t="shared" si="85"/>
        <v>0</v>
      </c>
      <c r="BJ75" s="19" t="s">
        <v>570</v>
      </c>
      <c r="BK75" s="23" t="s">
        <v>571</v>
      </c>
      <c r="BL75" s="43">
        <f t="shared" si="86"/>
        <v>135438.78044999999</v>
      </c>
      <c r="BM75" s="39">
        <f t="shared" si="87"/>
        <v>121035.54999999999</v>
      </c>
    </row>
    <row r="76" spans="1:65" ht="45">
      <c r="A76" s="10" t="s">
        <v>570</v>
      </c>
      <c r="B76" s="23" t="s">
        <v>571</v>
      </c>
      <c r="C76" s="66">
        <v>162</v>
      </c>
      <c r="D76" s="20" t="s">
        <v>573</v>
      </c>
      <c r="E76" s="41">
        <v>1923.24</v>
      </c>
      <c r="F76" s="21">
        <f t="shared" si="88"/>
        <v>192.32400000000001</v>
      </c>
      <c r="G76" s="21">
        <f t="shared" si="89"/>
        <v>36.541560000000004</v>
      </c>
      <c r="H76" s="21">
        <f t="shared" si="90"/>
        <v>2152.10556</v>
      </c>
      <c r="J76" s="10">
        <f t="shared" si="60"/>
        <v>56</v>
      </c>
      <c r="K76" s="6">
        <v>15</v>
      </c>
      <c r="L76" s="6">
        <v>4</v>
      </c>
      <c r="M76" s="6"/>
      <c r="N76" s="243"/>
      <c r="O76" s="10">
        <v>4</v>
      </c>
      <c r="P76" s="6">
        <v>4</v>
      </c>
      <c r="Q76" s="6">
        <v>4</v>
      </c>
      <c r="R76" s="6"/>
      <c r="S76" s="6">
        <v>4</v>
      </c>
      <c r="T76" s="6"/>
      <c r="U76" s="6">
        <v>2</v>
      </c>
      <c r="V76" s="6"/>
      <c r="W76" s="6"/>
      <c r="X76" s="6">
        <v>1</v>
      </c>
      <c r="Y76" s="6">
        <v>4</v>
      </c>
      <c r="Z76" s="6"/>
      <c r="AA76" s="6"/>
      <c r="AB76" s="6"/>
      <c r="AC76" s="6"/>
      <c r="AD76" s="6"/>
      <c r="AE76" s="6">
        <v>4</v>
      </c>
      <c r="AF76" s="6">
        <v>3</v>
      </c>
      <c r="AG76" s="6"/>
      <c r="AH76" s="6">
        <v>5</v>
      </c>
      <c r="AI76" s="6">
        <v>2</v>
      </c>
      <c r="AK76" s="22">
        <f t="shared" si="61"/>
        <v>32281.5834</v>
      </c>
      <c r="AL76" s="22">
        <f t="shared" si="62"/>
        <v>8608.4222399999999</v>
      </c>
      <c r="AM76" s="22">
        <f t="shared" si="63"/>
        <v>0</v>
      </c>
      <c r="AN76" s="22">
        <f t="shared" si="64"/>
        <v>0</v>
      </c>
      <c r="AO76" s="22">
        <f t="shared" si="65"/>
        <v>8608.4222399999999</v>
      </c>
      <c r="AP76" s="22">
        <f t="shared" si="66"/>
        <v>8608.4222399999999</v>
      </c>
      <c r="AQ76" s="22">
        <f t="shared" si="67"/>
        <v>8608.4222399999999</v>
      </c>
      <c r="AR76" s="22">
        <f t="shared" si="68"/>
        <v>0</v>
      </c>
      <c r="AS76" s="22">
        <f t="shared" si="69"/>
        <v>8608.4222399999999</v>
      </c>
      <c r="AT76" s="22">
        <f t="shared" si="70"/>
        <v>0</v>
      </c>
      <c r="AU76" s="22">
        <f t="shared" si="71"/>
        <v>4304.2111199999999</v>
      </c>
      <c r="AV76" s="22">
        <f t="shared" si="72"/>
        <v>0</v>
      </c>
      <c r="AW76" s="22">
        <f t="shared" si="73"/>
        <v>0</v>
      </c>
      <c r="AX76" s="22">
        <f t="shared" si="74"/>
        <v>2152.10556</v>
      </c>
      <c r="AY76" s="22">
        <f t="shared" si="75"/>
        <v>8608.4222399999999</v>
      </c>
      <c r="AZ76" s="22">
        <f t="shared" si="76"/>
        <v>0</v>
      </c>
      <c r="BA76" s="22">
        <f t="shared" si="77"/>
        <v>0</v>
      </c>
      <c r="BB76" s="22">
        <f t="shared" si="78"/>
        <v>0</v>
      </c>
      <c r="BC76" s="22">
        <f t="shared" si="79"/>
        <v>0</v>
      </c>
      <c r="BD76" s="22">
        <f t="shared" si="80"/>
        <v>0</v>
      </c>
      <c r="BE76" s="22">
        <f t="shared" si="81"/>
        <v>8608.4222399999999</v>
      </c>
      <c r="BF76" s="22">
        <f t="shared" si="82"/>
        <v>6456.3166799999999</v>
      </c>
      <c r="BG76" s="22">
        <f t="shared" si="83"/>
        <v>0</v>
      </c>
      <c r="BH76" s="22">
        <f t="shared" si="84"/>
        <v>10760.5278</v>
      </c>
      <c r="BI76" s="22">
        <f t="shared" si="85"/>
        <v>4304.2111199999999</v>
      </c>
      <c r="BJ76" s="19" t="s">
        <v>570</v>
      </c>
      <c r="BK76" s="23" t="s">
        <v>571</v>
      </c>
      <c r="BL76" s="43">
        <f t="shared" si="86"/>
        <v>120517.91136</v>
      </c>
      <c r="BM76" s="39">
        <f t="shared" si="87"/>
        <v>107701.44</v>
      </c>
    </row>
    <row r="77" spans="1:65" ht="22.5">
      <c r="A77" s="10" t="s">
        <v>574</v>
      </c>
      <c r="B77" s="23" t="s">
        <v>575</v>
      </c>
      <c r="C77" s="66">
        <v>168</v>
      </c>
      <c r="D77" s="20" t="s">
        <v>576</v>
      </c>
      <c r="E77" s="41">
        <v>22064.32</v>
      </c>
      <c r="F77" s="21">
        <f t="shared" si="88"/>
        <v>2206.4320000000002</v>
      </c>
      <c r="G77" s="21">
        <f t="shared" si="89"/>
        <v>419.22208000000006</v>
      </c>
      <c r="H77" s="21">
        <f t="shared" si="90"/>
        <v>24689.97408</v>
      </c>
      <c r="J77" s="10">
        <f t="shared" si="60"/>
        <v>20</v>
      </c>
      <c r="K77" s="6">
        <v>3</v>
      </c>
      <c r="L77" s="6"/>
      <c r="M77" s="6"/>
      <c r="N77" s="243"/>
      <c r="O77" s="6">
        <v>1</v>
      </c>
      <c r="P77" s="6"/>
      <c r="Q77" s="6">
        <v>3</v>
      </c>
      <c r="R77" s="6">
        <v>1</v>
      </c>
      <c r="S77" s="6"/>
      <c r="T77" s="6"/>
      <c r="U77" s="6"/>
      <c r="V77" s="6"/>
      <c r="W77" s="223">
        <v>0</v>
      </c>
      <c r="X77" s="6"/>
      <c r="Y77" s="6"/>
      <c r="Z77" s="6">
        <v>2</v>
      </c>
      <c r="AA77" s="6">
        <v>4</v>
      </c>
      <c r="AB77" s="6">
        <v>3</v>
      </c>
      <c r="AC77" s="6"/>
      <c r="AD77" s="6"/>
      <c r="AE77" s="6">
        <v>1</v>
      </c>
      <c r="AF77" s="6">
        <v>1</v>
      </c>
      <c r="AG77" s="6"/>
      <c r="AH77" s="6">
        <v>1</v>
      </c>
      <c r="AI77" s="6"/>
      <c r="AK77" s="22">
        <f t="shared" si="61"/>
        <v>74069.92224</v>
      </c>
      <c r="AL77" s="22">
        <f t="shared" si="62"/>
        <v>0</v>
      </c>
      <c r="AM77" s="22">
        <f t="shared" si="63"/>
        <v>0</v>
      </c>
      <c r="AN77" s="22">
        <f t="shared" si="64"/>
        <v>0</v>
      </c>
      <c r="AO77" s="22">
        <f t="shared" si="65"/>
        <v>24689.97408</v>
      </c>
      <c r="AP77" s="22">
        <f t="shared" si="66"/>
        <v>0</v>
      </c>
      <c r="AQ77" s="22">
        <f t="shared" si="67"/>
        <v>74069.92224</v>
      </c>
      <c r="AR77" s="22">
        <f t="shared" si="68"/>
        <v>24689.97408</v>
      </c>
      <c r="AS77" s="22">
        <f t="shared" si="69"/>
        <v>0</v>
      </c>
      <c r="AT77" s="22">
        <f t="shared" si="70"/>
        <v>0</v>
      </c>
      <c r="AU77" s="22">
        <f t="shared" si="71"/>
        <v>0</v>
      </c>
      <c r="AV77" s="22">
        <f t="shared" si="72"/>
        <v>0</v>
      </c>
      <c r="AW77" s="22">
        <f t="shared" si="73"/>
        <v>0</v>
      </c>
      <c r="AX77" s="22">
        <f t="shared" si="74"/>
        <v>0</v>
      </c>
      <c r="AY77" s="22">
        <f t="shared" si="75"/>
        <v>0</v>
      </c>
      <c r="AZ77" s="22">
        <f t="shared" si="76"/>
        <v>49379.94816</v>
      </c>
      <c r="BA77" s="22">
        <f t="shared" si="77"/>
        <v>98759.89632</v>
      </c>
      <c r="BB77" s="22">
        <f t="shared" si="78"/>
        <v>74069.92224</v>
      </c>
      <c r="BC77" s="22">
        <f t="shared" si="79"/>
        <v>0</v>
      </c>
      <c r="BD77" s="22">
        <f t="shared" si="80"/>
        <v>0</v>
      </c>
      <c r="BE77" s="22">
        <f t="shared" si="81"/>
        <v>24689.97408</v>
      </c>
      <c r="BF77" s="22">
        <f t="shared" si="82"/>
        <v>24689.97408</v>
      </c>
      <c r="BG77" s="22">
        <f t="shared" si="83"/>
        <v>0</v>
      </c>
      <c r="BH77" s="22">
        <f t="shared" si="84"/>
        <v>24689.97408</v>
      </c>
      <c r="BI77" s="22">
        <f t="shared" si="85"/>
        <v>0</v>
      </c>
      <c r="BJ77" s="19" t="s">
        <v>574</v>
      </c>
      <c r="BK77" s="23" t="s">
        <v>575</v>
      </c>
      <c r="BL77" s="43">
        <f t="shared" si="86"/>
        <v>493799.4816</v>
      </c>
      <c r="BM77" s="39">
        <f t="shared" si="87"/>
        <v>441286.40000000002</v>
      </c>
    </row>
    <row r="78" spans="1:65" ht="22.5">
      <c r="A78" s="10" t="s">
        <v>574</v>
      </c>
      <c r="B78" s="23" t="s">
        <v>575</v>
      </c>
      <c r="C78" s="66">
        <v>169</v>
      </c>
      <c r="D78" s="20" t="s">
        <v>1075</v>
      </c>
      <c r="E78" s="41">
        <v>193919</v>
      </c>
      <c r="F78" s="21">
        <f t="shared" si="88"/>
        <v>19391.900000000001</v>
      </c>
      <c r="G78" s="21">
        <f t="shared" si="89"/>
        <v>3684.4610000000002</v>
      </c>
      <c r="H78" s="21">
        <f t="shared" si="90"/>
        <v>216995.361</v>
      </c>
      <c r="J78" s="10">
        <f t="shared" si="60"/>
        <v>0</v>
      </c>
      <c r="K78" s="6"/>
      <c r="L78" s="6"/>
      <c r="M78" s="6"/>
      <c r="N78" s="243"/>
      <c r="O78" s="6"/>
      <c r="P78" s="6"/>
      <c r="Q78" s="6"/>
      <c r="R78" s="6"/>
      <c r="S78" s="6"/>
      <c r="T78" s="6"/>
      <c r="U78" s="6"/>
      <c r="V78" s="6"/>
      <c r="W78" s="243"/>
      <c r="X78" s="6"/>
      <c r="Y78" s="6"/>
      <c r="Z78" s="6"/>
      <c r="AA78" s="6"/>
      <c r="AB78" s="6"/>
      <c r="AC78" s="6"/>
      <c r="AD78" s="6"/>
      <c r="AE78" s="6"/>
      <c r="AF78" s="6"/>
      <c r="AG78" s="6"/>
      <c r="AH78" s="6"/>
      <c r="AI78" s="6"/>
      <c r="AK78" s="22">
        <f t="shared" si="61"/>
        <v>0</v>
      </c>
      <c r="AL78" s="22">
        <f t="shared" si="62"/>
        <v>0</v>
      </c>
      <c r="AM78" s="22">
        <f t="shared" si="63"/>
        <v>0</v>
      </c>
      <c r="AN78" s="22">
        <f t="shared" si="64"/>
        <v>0</v>
      </c>
      <c r="AO78" s="22">
        <f t="shared" si="65"/>
        <v>0</v>
      </c>
      <c r="AP78" s="22">
        <f t="shared" si="66"/>
        <v>0</v>
      </c>
      <c r="AQ78" s="22">
        <f t="shared" si="67"/>
        <v>0</v>
      </c>
      <c r="AR78" s="22">
        <f t="shared" si="68"/>
        <v>0</v>
      </c>
      <c r="AS78" s="22">
        <f t="shared" si="69"/>
        <v>0</v>
      </c>
      <c r="AT78" s="22">
        <f t="shared" si="70"/>
        <v>0</v>
      </c>
      <c r="AU78" s="22">
        <f t="shared" si="71"/>
        <v>0</v>
      </c>
      <c r="AV78" s="22">
        <f t="shared" si="72"/>
        <v>0</v>
      </c>
      <c r="AW78" s="22">
        <f t="shared" si="73"/>
        <v>0</v>
      </c>
      <c r="AX78" s="22">
        <f t="shared" si="74"/>
        <v>0</v>
      </c>
      <c r="AY78" s="22">
        <f t="shared" si="75"/>
        <v>0</v>
      </c>
      <c r="AZ78" s="22">
        <f t="shared" si="76"/>
        <v>0</v>
      </c>
      <c r="BA78" s="22">
        <f t="shared" si="77"/>
        <v>0</v>
      </c>
      <c r="BB78" s="22">
        <f t="shared" si="78"/>
        <v>0</v>
      </c>
      <c r="BC78" s="22">
        <f t="shared" si="79"/>
        <v>0</v>
      </c>
      <c r="BD78" s="22">
        <f t="shared" si="80"/>
        <v>0</v>
      </c>
      <c r="BE78" s="22">
        <f t="shared" si="81"/>
        <v>0</v>
      </c>
      <c r="BF78" s="22">
        <f t="shared" si="82"/>
        <v>0</v>
      </c>
      <c r="BG78" s="22">
        <f t="shared" si="83"/>
        <v>0</v>
      </c>
      <c r="BH78" s="22">
        <f t="shared" si="84"/>
        <v>0</v>
      </c>
      <c r="BI78" s="22">
        <f t="shared" si="85"/>
        <v>0</v>
      </c>
      <c r="BJ78" s="19"/>
      <c r="BK78" s="23"/>
      <c r="BL78" s="43">
        <f t="shared" si="86"/>
        <v>0</v>
      </c>
      <c r="BM78" s="39">
        <f t="shared" si="87"/>
        <v>0</v>
      </c>
    </row>
    <row r="79" spans="1:65" ht="34.5" customHeight="1">
      <c r="A79" s="10" t="s">
        <v>577</v>
      </c>
      <c r="B79" s="19" t="s">
        <v>578</v>
      </c>
      <c r="C79" s="66">
        <v>170</v>
      </c>
      <c r="D79" s="20" t="s">
        <v>579</v>
      </c>
      <c r="E79" s="41">
        <v>10801.87</v>
      </c>
      <c r="F79" s="21">
        <f t="shared" si="88"/>
        <v>1080.1870000000001</v>
      </c>
      <c r="G79" s="21">
        <f t="shared" si="89"/>
        <v>205.23553000000004</v>
      </c>
      <c r="H79" s="21">
        <f t="shared" si="90"/>
        <v>12087.292530000001</v>
      </c>
      <c r="J79" s="10">
        <f t="shared" si="60"/>
        <v>951</v>
      </c>
      <c r="K79" s="6">
        <v>450</v>
      </c>
      <c r="L79" s="6">
        <v>40</v>
      </c>
      <c r="M79" s="6">
        <v>40</v>
      </c>
      <c r="N79" s="243"/>
      <c r="O79" s="10">
        <v>44</v>
      </c>
      <c r="P79" s="6"/>
      <c r="Q79" s="6">
        <f>20+2</f>
        <v>22</v>
      </c>
      <c r="R79" s="6"/>
      <c r="S79" s="6">
        <v>50</v>
      </c>
      <c r="T79" s="6">
        <v>30</v>
      </c>
      <c r="U79" s="6">
        <v>60</v>
      </c>
      <c r="V79" s="6"/>
      <c r="W79" s="6"/>
      <c r="X79" s="6">
        <v>10</v>
      </c>
      <c r="Y79" s="6">
        <v>10</v>
      </c>
      <c r="Z79" s="6">
        <v>40</v>
      </c>
      <c r="AA79" s="6"/>
      <c r="AB79" s="6">
        <v>20</v>
      </c>
      <c r="AC79" s="6"/>
      <c r="AD79" s="6">
        <v>40</v>
      </c>
      <c r="AE79" s="6">
        <v>10</v>
      </c>
      <c r="AF79" s="6"/>
      <c r="AG79" s="6">
        <v>25</v>
      </c>
      <c r="AH79" s="6">
        <v>20</v>
      </c>
      <c r="AI79" s="6">
        <v>40</v>
      </c>
      <c r="AK79" s="22">
        <f t="shared" si="61"/>
        <v>5439281.6385000004</v>
      </c>
      <c r="AL79" s="22">
        <f t="shared" si="62"/>
        <v>483491.70120000001</v>
      </c>
      <c r="AM79" s="22">
        <f t="shared" si="63"/>
        <v>483491.70120000001</v>
      </c>
      <c r="AN79" s="22">
        <f t="shared" si="64"/>
        <v>0</v>
      </c>
      <c r="AO79" s="22">
        <f t="shared" si="65"/>
        <v>531840.87132000003</v>
      </c>
      <c r="AP79" s="22">
        <f t="shared" si="66"/>
        <v>0</v>
      </c>
      <c r="AQ79" s="22">
        <f t="shared" si="67"/>
        <v>265920.43566000002</v>
      </c>
      <c r="AR79" s="22">
        <f t="shared" si="68"/>
        <v>0</v>
      </c>
      <c r="AS79" s="22">
        <f t="shared" si="69"/>
        <v>604364.62650000001</v>
      </c>
      <c r="AT79" s="22">
        <f t="shared" si="70"/>
        <v>362618.77590000001</v>
      </c>
      <c r="AU79" s="22">
        <f t="shared" si="71"/>
        <v>725237.55180000002</v>
      </c>
      <c r="AV79" s="22">
        <f t="shared" si="72"/>
        <v>0</v>
      </c>
      <c r="AW79" s="22">
        <f t="shared" si="73"/>
        <v>0</v>
      </c>
      <c r="AX79" s="22">
        <f t="shared" si="74"/>
        <v>120872.9253</v>
      </c>
      <c r="AY79" s="22">
        <f t="shared" si="75"/>
        <v>120872.9253</v>
      </c>
      <c r="AZ79" s="22">
        <f t="shared" si="76"/>
        <v>483491.70120000001</v>
      </c>
      <c r="BA79" s="22">
        <f t="shared" si="77"/>
        <v>0</v>
      </c>
      <c r="BB79" s="22">
        <f t="shared" si="78"/>
        <v>241745.85060000001</v>
      </c>
      <c r="BC79" s="22">
        <f t="shared" si="79"/>
        <v>0</v>
      </c>
      <c r="BD79" s="22">
        <f t="shared" si="80"/>
        <v>483491.70120000001</v>
      </c>
      <c r="BE79" s="22">
        <f t="shared" si="81"/>
        <v>120872.9253</v>
      </c>
      <c r="BF79" s="22">
        <f t="shared" si="82"/>
        <v>0</v>
      </c>
      <c r="BG79" s="22">
        <f t="shared" si="83"/>
        <v>302182.31325000001</v>
      </c>
      <c r="BH79" s="22">
        <f t="shared" si="84"/>
        <v>241745.85060000001</v>
      </c>
      <c r="BI79" s="22">
        <f t="shared" si="85"/>
        <v>483491.70120000001</v>
      </c>
      <c r="BJ79" s="19" t="s">
        <v>577</v>
      </c>
      <c r="BK79" s="19" t="s">
        <v>578</v>
      </c>
      <c r="BL79" s="43">
        <f t="shared" si="86"/>
        <v>11495015.19603</v>
      </c>
      <c r="BM79" s="39">
        <f t="shared" si="87"/>
        <v>10272578.370000001</v>
      </c>
    </row>
    <row r="80" spans="1:65" ht="34.5" customHeight="1">
      <c r="A80" s="10" t="s">
        <v>580</v>
      </c>
      <c r="B80" s="10" t="s">
        <v>581</v>
      </c>
      <c r="C80" s="66">
        <v>174</v>
      </c>
      <c r="D80" s="20" t="s">
        <v>582</v>
      </c>
      <c r="E80" s="41">
        <v>8516.18</v>
      </c>
      <c r="F80" s="21">
        <f t="shared" si="88"/>
        <v>851.61800000000005</v>
      </c>
      <c r="G80" s="21">
        <f t="shared" si="89"/>
        <v>161.80742000000001</v>
      </c>
      <c r="H80" s="21">
        <f t="shared" si="90"/>
        <v>9529.6054199999999</v>
      </c>
      <c r="J80" s="10">
        <f t="shared" si="60"/>
        <v>5</v>
      </c>
      <c r="K80" s="6">
        <v>5</v>
      </c>
      <c r="L80" s="6"/>
      <c r="M80" s="6"/>
      <c r="N80" s="243"/>
      <c r="O80" s="6"/>
      <c r="P80" s="6"/>
      <c r="Q80" s="6"/>
      <c r="R80" s="6"/>
      <c r="S80" s="6"/>
      <c r="T80" s="6"/>
      <c r="U80" s="6"/>
      <c r="V80" s="6"/>
      <c r="W80" s="6"/>
      <c r="X80" s="6"/>
      <c r="Y80" s="6"/>
      <c r="Z80" s="6"/>
      <c r="AA80" s="6"/>
      <c r="AB80" s="6"/>
      <c r="AC80" s="6"/>
      <c r="AD80" s="6"/>
      <c r="AE80" s="6"/>
      <c r="AF80" s="6"/>
      <c r="AG80" s="6"/>
      <c r="AH80" s="6"/>
      <c r="AI80" s="6"/>
      <c r="AK80" s="22">
        <f t="shared" si="61"/>
        <v>47648.027099999999</v>
      </c>
      <c r="AL80" s="22">
        <f t="shared" si="62"/>
        <v>0</v>
      </c>
      <c r="AM80" s="22">
        <f t="shared" si="63"/>
        <v>0</v>
      </c>
      <c r="AN80" s="22">
        <f t="shared" si="64"/>
        <v>0</v>
      </c>
      <c r="AO80" s="22">
        <f t="shared" si="65"/>
        <v>0</v>
      </c>
      <c r="AP80" s="22">
        <f t="shared" si="66"/>
        <v>0</v>
      </c>
      <c r="AQ80" s="22">
        <f t="shared" si="67"/>
        <v>0</v>
      </c>
      <c r="AR80" s="22">
        <f t="shared" si="68"/>
        <v>0</v>
      </c>
      <c r="AS80" s="22">
        <f t="shared" si="69"/>
        <v>0</v>
      </c>
      <c r="AT80" s="22">
        <f t="shared" si="70"/>
        <v>0</v>
      </c>
      <c r="AU80" s="22">
        <f t="shared" si="71"/>
        <v>0</v>
      </c>
      <c r="AV80" s="22">
        <f t="shared" si="72"/>
        <v>0</v>
      </c>
      <c r="AW80" s="22">
        <f t="shared" si="73"/>
        <v>0</v>
      </c>
      <c r="AX80" s="22">
        <f t="shared" si="74"/>
        <v>0</v>
      </c>
      <c r="AY80" s="22">
        <f t="shared" si="75"/>
        <v>0</v>
      </c>
      <c r="AZ80" s="22">
        <f t="shared" si="76"/>
        <v>0</v>
      </c>
      <c r="BA80" s="22">
        <f t="shared" si="77"/>
        <v>0</v>
      </c>
      <c r="BB80" s="22">
        <f t="shared" si="78"/>
        <v>0</v>
      </c>
      <c r="BC80" s="22">
        <f t="shared" si="79"/>
        <v>0</v>
      </c>
      <c r="BD80" s="22">
        <f t="shared" si="80"/>
        <v>0</v>
      </c>
      <c r="BE80" s="22">
        <f t="shared" si="81"/>
        <v>0</v>
      </c>
      <c r="BF80" s="22">
        <f t="shared" si="82"/>
        <v>0</v>
      </c>
      <c r="BG80" s="22">
        <f t="shared" si="83"/>
        <v>0</v>
      </c>
      <c r="BH80" s="22">
        <f t="shared" si="84"/>
        <v>0</v>
      </c>
      <c r="BI80" s="22">
        <f t="shared" si="85"/>
        <v>0</v>
      </c>
      <c r="BJ80" s="19" t="s">
        <v>580</v>
      </c>
      <c r="BK80" s="19" t="s">
        <v>581</v>
      </c>
      <c r="BL80" s="43">
        <f t="shared" si="86"/>
        <v>47648.027099999999</v>
      </c>
      <c r="BM80" s="39">
        <f t="shared" si="87"/>
        <v>42580.9</v>
      </c>
    </row>
    <row r="81" spans="1:65" ht="22.5">
      <c r="A81" s="10" t="s">
        <v>583</v>
      </c>
      <c r="B81" s="19" t="s">
        <v>584</v>
      </c>
      <c r="C81" s="66">
        <v>175</v>
      </c>
      <c r="D81" s="20" t="s">
        <v>585</v>
      </c>
      <c r="E81" s="41">
        <v>5302.9</v>
      </c>
      <c r="F81" s="21">
        <f t="shared" si="88"/>
        <v>530.29</v>
      </c>
      <c r="G81" s="21">
        <f t="shared" si="89"/>
        <v>100.7551</v>
      </c>
      <c r="H81" s="21">
        <f t="shared" si="90"/>
        <v>5933.9450999999999</v>
      </c>
      <c r="J81" s="10">
        <f t="shared" si="60"/>
        <v>460</v>
      </c>
      <c r="K81" s="6">
        <v>80</v>
      </c>
      <c r="L81" s="6">
        <v>30</v>
      </c>
      <c r="M81" s="6">
        <v>30</v>
      </c>
      <c r="N81" s="243"/>
      <c r="O81" s="10">
        <v>48</v>
      </c>
      <c r="P81" s="6"/>
      <c r="Q81" s="6">
        <f>20+2</f>
        <v>22</v>
      </c>
      <c r="R81" s="6"/>
      <c r="S81" s="6">
        <v>30</v>
      </c>
      <c r="T81" s="6">
        <v>50</v>
      </c>
      <c r="U81" s="6">
        <v>60</v>
      </c>
      <c r="V81" s="6"/>
      <c r="W81" s="6"/>
      <c r="X81" s="6">
        <v>10</v>
      </c>
      <c r="Y81" s="6">
        <v>10</v>
      </c>
      <c r="Z81" s="6">
        <v>30</v>
      </c>
      <c r="AA81" s="6"/>
      <c r="AB81" s="6">
        <v>10</v>
      </c>
      <c r="AC81" s="6"/>
      <c r="AD81" s="6"/>
      <c r="AE81" s="6">
        <v>7</v>
      </c>
      <c r="AF81" s="6">
        <v>4</v>
      </c>
      <c r="AG81" s="6">
        <v>30</v>
      </c>
      <c r="AH81" s="6">
        <v>4</v>
      </c>
      <c r="AI81" s="6">
        <v>5</v>
      </c>
      <c r="AK81" s="22">
        <f t="shared" si="61"/>
        <v>474715.60800000001</v>
      </c>
      <c r="AL81" s="22">
        <f t="shared" si="62"/>
        <v>178018.353</v>
      </c>
      <c r="AM81" s="22">
        <f t="shared" si="63"/>
        <v>178018.353</v>
      </c>
      <c r="AN81" s="22">
        <f t="shared" si="64"/>
        <v>0</v>
      </c>
      <c r="AO81" s="22">
        <f t="shared" si="65"/>
        <v>284829.36479999998</v>
      </c>
      <c r="AP81" s="22">
        <f t="shared" si="66"/>
        <v>0</v>
      </c>
      <c r="AQ81" s="22">
        <f t="shared" si="67"/>
        <v>130546.7922</v>
      </c>
      <c r="AR81" s="22">
        <f t="shared" si="68"/>
        <v>0</v>
      </c>
      <c r="AS81" s="22">
        <f t="shared" si="69"/>
        <v>178018.353</v>
      </c>
      <c r="AT81" s="22">
        <f t="shared" si="70"/>
        <v>296697.255</v>
      </c>
      <c r="AU81" s="22">
        <f t="shared" si="71"/>
        <v>356036.70600000001</v>
      </c>
      <c r="AV81" s="22">
        <f t="shared" si="72"/>
        <v>0</v>
      </c>
      <c r="AW81" s="22">
        <f t="shared" si="73"/>
        <v>0</v>
      </c>
      <c r="AX81" s="22">
        <f t="shared" si="74"/>
        <v>59339.451000000001</v>
      </c>
      <c r="AY81" s="22">
        <f t="shared" si="75"/>
        <v>59339.451000000001</v>
      </c>
      <c r="AZ81" s="22">
        <f t="shared" si="76"/>
        <v>178018.353</v>
      </c>
      <c r="BA81" s="22">
        <f t="shared" si="77"/>
        <v>0</v>
      </c>
      <c r="BB81" s="22">
        <f t="shared" si="78"/>
        <v>59339.451000000001</v>
      </c>
      <c r="BC81" s="22">
        <f t="shared" si="79"/>
        <v>0</v>
      </c>
      <c r="BD81" s="22">
        <f t="shared" si="80"/>
        <v>0</v>
      </c>
      <c r="BE81" s="22">
        <f t="shared" si="81"/>
        <v>41537.615700000002</v>
      </c>
      <c r="BF81" s="22">
        <f t="shared" si="82"/>
        <v>23735.7804</v>
      </c>
      <c r="BG81" s="22">
        <f t="shared" si="83"/>
        <v>178018.353</v>
      </c>
      <c r="BH81" s="22">
        <f t="shared" si="84"/>
        <v>23735.7804</v>
      </c>
      <c r="BI81" s="22">
        <f t="shared" si="85"/>
        <v>29669.7255</v>
      </c>
      <c r="BJ81" s="19" t="s">
        <v>583</v>
      </c>
      <c r="BK81" s="19" t="s">
        <v>584</v>
      </c>
      <c r="BL81" s="43">
        <f t="shared" si="86"/>
        <v>2729614.7459999998</v>
      </c>
      <c r="BM81" s="39">
        <f t="shared" si="87"/>
        <v>2439334</v>
      </c>
    </row>
    <row r="82" spans="1:65" ht="22.5">
      <c r="A82" s="10" t="s">
        <v>583</v>
      </c>
      <c r="B82" s="19" t="s">
        <v>584</v>
      </c>
      <c r="C82" s="66">
        <v>177</v>
      </c>
      <c r="D82" s="20" t="s">
        <v>586</v>
      </c>
      <c r="E82" s="41">
        <v>1894.61</v>
      </c>
      <c r="F82" s="21">
        <f t="shared" si="88"/>
        <v>189.46100000000001</v>
      </c>
      <c r="G82" s="21">
        <f t="shared" si="89"/>
        <v>35.997590000000002</v>
      </c>
      <c r="H82" s="21">
        <f t="shared" si="90"/>
        <v>2120.0685899999999</v>
      </c>
      <c r="J82" s="10">
        <f t="shared" si="60"/>
        <v>70</v>
      </c>
      <c r="K82" s="6">
        <v>30</v>
      </c>
      <c r="L82" s="6"/>
      <c r="M82" s="6"/>
      <c r="N82" s="243"/>
      <c r="O82" s="6"/>
      <c r="P82" s="6"/>
      <c r="Q82" s="6">
        <v>20</v>
      </c>
      <c r="R82" s="6"/>
      <c r="S82" s="6"/>
      <c r="T82" s="6"/>
      <c r="U82" s="6"/>
      <c r="V82" s="6"/>
      <c r="W82" s="6">
        <v>10</v>
      </c>
      <c r="X82" s="6"/>
      <c r="Y82" s="6"/>
      <c r="Z82" s="6"/>
      <c r="AA82" s="6">
        <v>10</v>
      </c>
      <c r="AB82" s="6"/>
      <c r="AC82" s="6"/>
      <c r="AD82" s="6"/>
      <c r="AE82" s="6"/>
      <c r="AF82" s="6"/>
      <c r="AG82" s="6"/>
      <c r="AH82" s="6"/>
      <c r="AI82" s="6"/>
      <c r="AK82" s="22">
        <f t="shared" si="61"/>
        <v>63602.057699999998</v>
      </c>
      <c r="AL82" s="22">
        <f t="shared" si="62"/>
        <v>0</v>
      </c>
      <c r="AM82" s="22">
        <f t="shared" si="63"/>
        <v>0</v>
      </c>
      <c r="AN82" s="22">
        <f t="shared" si="64"/>
        <v>0</v>
      </c>
      <c r="AO82" s="22">
        <f t="shared" si="65"/>
        <v>0</v>
      </c>
      <c r="AP82" s="22">
        <f t="shared" si="66"/>
        <v>0</v>
      </c>
      <c r="AQ82" s="22">
        <f t="shared" si="67"/>
        <v>42401.371799999994</v>
      </c>
      <c r="AR82" s="22">
        <f t="shared" si="68"/>
        <v>0</v>
      </c>
      <c r="AS82" s="22">
        <f t="shared" si="69"/>
        <v>0</v>
      </c>
      <c r="AT82" s="22">
        <f t="shared" si="70"/>
        <v>0</v>
      </c>
      <c r="AU82" s="22">
        <f t="shared" si="71"/>
        <v>0</v>
      </c>
      <c r="AV82" s="22">
        <f t="shared" si="72"/>
        <v>0</v>
      </c>
      <c r="AW82" s="22">
        <f t="shared" si="73"/>
        <v>21200.685899999997</v>
      </c>
      <c r="AX82" s="22">
        <f t="shared" si="74"/>
        <v>0</v>
      </c>
      <c r="AY82" s="22">
        <f t="shared" si="75"/>
        <v>0</v>
      </c>
      <c r="AZ82" s="22">
        <f t="shared" si="76"/>
        <v>0</v>
      </c>
      <c r="BA82" s="22">
        <f t="shared" si="77"/>
        <v>21200.685899999997</v>
      </c>
      <c r="BB82" s="22">
        <f t="shared" si="78"/>
        <v>0</v>
      </c>
      <c r="BC82" s="22">
        <f t="shared" si="79"/>
        <v>0</v>
      </c>
      <c r="BD82" s="22">
        <f t="shared" si="80"/>
        <v>0</v>
      </c>
      <c r="BE82" s="22">
        <f t="shared" si="81"/>
        <v>0</v>
      </c>
      <c r="BF82" s="22">
        <f t="shared" si="82"/>
        <v>0</v>
      </c>
      <c r="BG82" s="22">
        <f t="shared" si="83"/>
        <v>0</v>
      </c>
      <c r="BH82" s="22">
        <f t="shared" si="84"/>
        <v>0</v>
      </c>
      <c r="BI82" s="22">
        <f t="shared" si="85"/>
        <v>0</v>
      </c>
      <c r="BJ82" s="19" t="s">
        <v>583</v>
      </c>
      <c r="BK82" s="19" t="s">
        <v>584</v>
      </c>
      <c r="BL82" s="43">
        <f t="shared" si="86"/>
        <v>148404.80129999999</v>
      </c>
      <c r="BM82" s="39">
        <f t="shared" si="87"/>
        <v>132622.69999999998</v>
      </c>
    </row>
    <row r="83" spans="1:65" ht="33.75">
      <c r="A83" s="10" t="s">
        <v>587</v>
      </c>
      <c r="B83" s="23" t="s">
        <v>588</v>
      </c>
      <c r="C83" s="66">
        <v>184</v>
      </c>
      <c r="D83" s="20" t="s">
        <v>589</v>
      </c>
      <c r="E83" s="41">
        <v>1105.55</v>
      </c>
      <c r="F83" s="21">
        <f t="shared" si="88"/>
        <v>110.55500000000001</v>
      </c>
      <c r="G83" s="21">
        <f t="shared" si="89"/>
        <v>21.005450000000003</v>
      </c>
      <c r="H83" s="21">
        <f t="shared" si="90"/>
        <v>1237.1104500000001</v>
      </c>
      <c r="J83" s="10">
        <f t="shared" si="60"/>
        <v>1137</v>
      </c>
      <c r="K83" s="6">
        <v>700</v>
      </c>
      <c r="L83" s="6">
        <v>40</v>
      </c>
      <c r="M83" s="6">
        <v>25</v>
      </c>
      <c r="N83" s="243"/>
      <c r="O83" s="10">
        <v>84</v>
      </c>
      <c r="P83" s="6"/>
      <c r="Q83" s="6">
        <v>10</v>
      </c>
      <c r="R83" s="6">
        <v>30</v>
      </c>
      <c r="S83" s="6">
        <v>50</v>
      </c>
      <c r="T83" s="6">
        <v>30</v>
      </c>
      <c r="U83" s="6">
        <v>40</v>
      </c>
      <c r="V83" s="6">
        <v>15</v>
      </c>
      <c r="W83" s="6"/>
      <c r="X83" s="6">
        <v>8</v>
      </c>
      <c r="Y83" s="6">
        <v>10</v>
      </c>
      <c r="Z83" s="6"/>
      <c r="AA83" s="6"/>
      <c r="AB83" s="6">
        <v>40</v>
      </c>
      <c r="AC83" s="6"/>
      <c r="AD83" s="6"/>
      <c r="AE83" s="6">
        <v>5</v>
      </c>
      <c r="AF83" s="6"/>
      <c r="AG83" s="6">
        <v>20</v>
      </c>
      <c r="AH83" s="6">
        <v>10</v>
      </c>
      <c r="AI83" s="6">
        <v>20</v>
      </c>
      <c r="AK83" s="22">
        <f t="shared" si="61"/>
        <v>865977.31500000006</v>
      </c>
      <c r="AL83" s="22">
        <f t="shared" si="62"/>
        <v>49484.418000000005</v>
      </c>
      <c r="AM83" s="22">
        <f t="shared" si="63"/>
        <v>30927.761250000003</v>
      </c>
      <c r="AN83" s="22">
        <f t="shared" si="64"/>
        <v>0</v>
      </c>
      <c r="AO83" s="22">
        <f t="shared" si="65"/>
        <v>103917.27780000001</v>
      </c>
      <c r="AP83" s="22">
        <f t="shared" si="66"/>
        <v>0</v>
      </c>
      <c r="AQ83" s="22">
        <f t="shared" si="67"/>
        <v>12371.104500000001</v>
      </c>
      <c r="AR83" s="22">
        <f t="shared" si="68"/>
        <v>37113.313500000004</v>
      </c>
      <c r="AS83" s="22">
        <f t="shared" si="69"/>
        <v>61855.522500000006</v>
      </c>
      <c r="AT83" s="22">
        <f t="shared" si="70"/>
        <v>37113.313500000004</v>
      </c>
      <c r="AU83" s="22">
        <f t="shared" si="71"/>
        <v>49484.418000000005</v>
      </c>
      <c r="AV83" s="22">
        <f t="shared" si="72"/>
        <v>18556.656750000002</v>
      </c>
      <c r="AW83" s="22">
        <f t="shared" si="73"/>
        <v>0</v>
      </c>
      <c r="AX83" s="22">
        <f t="shared" si="74"/>
        <v>9896.883600000001</v>
      </c>
      <c r="AY83" s="22">
        <f t="shared" si="75"/>
        <v>12371.104500000001</v>
      </c>
      <c r="AZ83" s="22">
        <f t="shared" si="76"/>
        <v>0</v>
      </c>
      <c r="BA83" s="22">
        <f t="shared" si="77"/>
        <v>0</v>
      </c>
      <c r="BB83" s="22">
        <f t="shared" si="78"/>
        <v>49484.418000000005</v>
      </c>
      <c r="BC83" s="22">
        <f t="shared" si="79"/>
        <v>0</v>
      </c>
      <c r="BD83" s="22">
        <f t="shared" si="80"/>
        <v>0</v>
      </c>
      <c r="BE83" s="22">
        <f t="shared" si="81"/>
        <v>6185.5522500000006</v>
      </c>
      <c r="BF83" s="22">
        <f t="shared" si="82"/>
        <v>0</v>
      </c>
      <c r="BG83" s="22">
        <f t="shared" si="83"/>
        <v>24742.209000000003</v>
      </c>
      <c r="BH83" s="22">
        <f t="shared" si="84"/>
        <v>12371.104500000001</v>
      </c>
      <c r="BI83" s="22">
        <f t="shared" si="85"/>
        <v>24742.209000000003</v>
      </c>
      <c r="BJ83" s="19" t="s">
        <v>587</v>
      </c>
      <c r="BK83" s="23" t="s">
        <v>588</v>
      </c>
      <c r="BL83" s="43">
        <f t="shared" si="86"/>
        <v>1406594.5816500001</v>
      </c>
      <c r="BM83" s="39">
        <f t="shared" si="87"/>
        <v>1257010.3499999999</v>
      </c>
    </row>
    <row r="84" spans="1:65" ht="22.5">
      <c r="A84" s="10" t="s">
        <v>590</v>
      </c>
      <c r="B84" s="23" t="s">
        <v>591</v>
      </c>
      <c r="C84" s="66">
        <v>188</v>
      </c>
      <c r="D84" s="20" t="s">
        <v>592</v>
      </c>
      <c r="E84" s="41">
        <v>3487.97</v>
      </c>
      <c r="F84" s="21">
        <f t="shared" si="88"/>
        <v>348.79700000000003</v>
      </c>
      <c r="G84" s="21">
        <f t="shared" si="89"/>
        <v>66.271430000000009</v>
      </c>
      <c r="H84" s="21">
        <f t="shared" si="90"/>
        <v>3903.0384299999996</v>
      </c>
      <c r="J84" s="10">
        <f t="shared" si="60"/>
        <v>61</v>
      </c>
      <c r="K84" s="6"/>
      <c r="L84" s="6"/>
      <c r="M84" s="6"/>
      <c r="N84" s="243"/>
      <c r="O84" s="6"/>
      <c r="P84" s="6"/>
      <c r="Q84" s="6"/>
      <c r="R84" s="6"/>
      <c r="S84" s="6"/>
      <c r="T84" s="6"/>
      <c r="U84" s="6"/>
      <c r="V84" s="6"/>
      <c r="W84" s="6">
        <v>10</v>
      </c>
      <c r="X84" s="6"/>
      <c r="Y84" s="6"/>
      <c r="Z84" s="6">
        <v>30</v>
      </c>
      <c r="AA84" s="6">
        <v>10</v>
      </c>
      <c r="AB84" s="6">
        <v>10</v>
      </c>
      <c r="AC84" s="6"/>
      <c r="AD84" s="6">
        <v>1</v>
      </c>
      <c r="AE84" s="6"/>
      <c r="AF84" s="6"/>
      <c r="AG84" s="6"/>
      <c r="AH84" s="6"/>
      <c r="AI84" s="6"/>
      <c r="AK84" s="22">
        <f t="shared" si="61"/>
        <v>0</v>
      </c>
      <c r="AL84" s="22">
        <f t="shared" si="62"/>
        <v>0</v>
      </c>
      <c r="AM84" s="22">
        <f t="shared" si="63"/>
        <v>0</v>
      </c>
      <c r="AN84" s="22">
        <f t="shared" si="64"/>
        <v>0</v>
      </c>
      <c r="AO84" s="22">
        <f t="shared" si="65"/>
        <v>0</v>
      </c>
      <c r="AP84" s="22">
        <f t="shared" si="66"/>
        <v>0</v>
      </c>
      <c r="AQ84" s="22">
        <f t="shared" si="67"/>
        <v>0</v>
      </c>
      <c r="AR84" s="22">
        <f t="shared" si="68"/>
        <v>0</v>
      </c>
      <c r="AS84" s="22">
        <f t="shared" si="69"/>
        <v>0</v>
      </c>
      <c r="AT84" s="22">
        <f t="shared" si="70"/>
        <v>0</v>
      </c>
      <c r="AU84" s="22">
        <f t="shared" si="71"/>
        <v>0</v>
      </c>
      <c r="AV84" s="22">
        <f t="shared" si="72"/>
        <v>0</v>
      </c>
      <c r="AW84" s="22">
        <f t="shared" si="73"/>
        <v>39030.384299999998</v>
      </c>
      <c r="AX84" s="22">
        <f t="shared" si="74"/>
        <v>0</v>
      </c>
      <c r="AY84" s="22">
        <f t="shared" si="75"/>
        <v>0</v>
      </c>
      <c r="AZ84" s="22">
        <f t="shared" si="76"/>
        <v>117091.15289999999</v>
      </c>
      <c r="BA84" s="22">
        <f t="shared" si="77"/>
        <v>39030.384299999998</v>
      </c>
      <c r="BB84" s="22">
        <f t="shared" si="78"/>
        <v>39030.384299999998</v>
      </c>
      <c r="BC84" s="22">
        <f t="shared" si="79"/>
        <v>0</v>
      </c>
      <c r="BD84" s="22">
        <f t="shared" si="80"/>
        <v>3903.0384299999996</v>
      </c>
      <c r="BE84" s="22">
        <f t="shared" si="81"/>
        <v>0</v>
      </c>
      <c r="BF84" s="22">
        <f t="shared" si="82"/>
        <v>0</v>
      </c>
      <c r="BG84" s="22">
        <f t="shared" si="83"/>
        <v>0</v>
      </c>
      <c r="BH84" s="22">
        <f t="shared" si="84"/>
        <v>0</v>
      </c>
      <c r="BI84" s="22">
        <f t="shared" si="85"/>
        <v>0</v>
      </c>
      <c r="BJ84" s="19" t="s">
        <v>590</v>
      </c>
      <c r="BK84" s="23" t="s">
        <v>591</v>
      </c>
      <c r="BL84" s="43">
        <f t="shared" si="86"/>
        <v>238085.34422999999</v>
      </c>
      <c r="BM84" s="39">
        <f t="shared" si="87"/>
        <v>212766.16999999998</v>
      </c>
    </row>
    <row r="85" spans="1:65" ht="33.75">
      <c r="A85" s="10" t="s">
        <v>587</v>
      </c>
      <c r="B85" s="23" t="s">
        <v>588</v>
      </c>
      <c r="C85" s="66">
        <v>189</v>
      </c>
      <c r="D85" s="20" t="s">
        <v>593</v>
      </c>
      <c r="E85" s="41">
        <v>1570.8</v>
      </c>
      <c r="F85" s="21">
        <f t="shared" si="88"/>
        <v>157.08000000000001</v>
      </c>
      <c r="G85" s="21">
        <f t="shared" si="89"/>
        <v>29.845200000000002</v>
      </c>
      <c r="H85" s="21">
        <f t="shared" si="90"/>
        <v>1757.7251999999999</v>
      </c>
      <c r="J85" s="10">
        <f t="shared" si="60"/>
        <v>809</v>
      </c>
      <c r="K85" s="6">
        <v>400</v>
      </c>
      <c r="L85" s="6">
        <v>40</v>
      </c>
      <c r="M85" s="6">
        <v>25</v>
      </c>
      <c r="N85" s="243"/>
      <c r="O85" s="10">
        <v>44</v>
      </c>
      <c r="P85" s="6"/>
      <c r="Q85" s="6">
        <v>20</v>
      </c>
      <c r="R85" s="6">
        <v>10</v>
      </c>
      <c r="S85" s="6">
        <v>40</v>
      </c>
      <c r="T85" s="6">
        <v>20</v>
      </c>
      <c r="U85" s="6">
        <v>40</v>
      </c>
      <c r="V85" s="6">
        <v>10</v>
      </c>
      <c r="W85" s="6">
        <v>8</v>
      </c>
      <c r="X85" s="6">
        <v>10</v>
      </c>
      <c r="Y85" s="6">
        <v>10</v>
      </c>
      <c r="Z85" s="6">
        <v>10</v>
      </c>
      <c r="AA85" s="6"/>
      <c r="AB85" s="6">
        <v>40</v>
      </c>
      <c r="AC85" s="6"/>
      <c r="AD85" s="6">
        <v>40</v>
      </c>
      <c r="AE85" s="6">
        <v>7</v>
      </c>
      <c r="AF85" s="6">
        <v>5</v>
      </c>
      <c r="AG85" s="6">
        <v>20</v>
      </c>
      <c r="AH85" s="6">
        <v>10</v>
      </c>
      <c r="AI85" s="6"/>
      <c r="AK85" s="22">
        <f t="shared" si="61"/>
        <v>703090.08</v>
      </c>
      <c r="AL85" s="22">
        <f t="shared" si="62"/>
        <v>70309.008000000002</v>
      </c>
      <c r="AM85" s="22">
        <f t="shared" si="63"/>
        <v>43943.13</v>
      </c>
      <c r="AN85" s="22">
        <f t="shared" si="64"/>
        <v>0</v>
      </c>
      <c r="AO85" s="22">
        <f t="shared" si="65"/>
        <v>77339.90879999999</v>
      </c>
      <c r="AP85" s="22">
        <f t="shared" si="66"/>
        <v>0</v>
      </c>
      <c r="AQ85" s="22">
        <f t="shared" si="67"/>
        <v>35154.504000000001</v>
      </c>
      <c r="AR85" s="22">
        <f t="shared" si="68"/>
        <v>17577.252</v>
      </c>
      <c r="AS85" s="22">
        <f t="shared" si="69"/>
        <v>70309.008000000002</v>
      </c>
      <c r="AT85" s="22">
        <f t="shared" si="70"/>
        <v>35154.504000000001</v>
      </c>
      <c r="AU85" s="22">
        <f t="shared" si="71"/>
        <v>70309.008000000002</v>
      </c>
      <c r="AV85" s="22">
        <f t="shared" si="72"/>
        <v>17577.252</v>
      </c>
      <c r="AW85" s="22">
        <f t="shared" si="73"/>
        <v>14061.801599999999</v>
      </c>
      <c r="AX85" s="22">
        <f t="shared" si="74"/>
        <v>17577.252</v>
      </c>
      <c r="AY85" s="22">
        <f t="shared" si="75"/>
        <v>17577.252</v>
      </c>
      <c r="AZ85" s="22">
        <f t="shared" si="76"/>
        <v>17577.252</v>
      </c>
      <c r="BA85" s="22">
        <f t="shared" si="77"/>
        <v>0</v>
      </c>
      <c r="BB85" s="22">
        <f t="shared" si="78"/>
        <v>70309.008000000002</v>
      </c>
      <c r="BC85" s="22">
        <f t="shared" si="79"/>
        <v>0</v>
      </c>
      <c r="BD85" s="22">
        <f t="shared" si="80"/>
        <v>70309.008000000002</v>
      </c>
      <c r="BE85" s="22">
        <f t="shared" si="81"/>
        <v>12304.076399999998</v>
      </c>
      <c r="BF85" s="22">
        <f t="shared" si="82"/>
        <v>8788.6260000000002</v>
      </c>
      <c r="BG85" s="22">
        <f t="shared" si="83"/>
        <v>35154.504000000001</v>
      </c>
      <c r="BH85" s="22">
        <f t="shared" si="84"/>
        <v>17577.252</v>
      </c>
      <c r="BI85" s="22">
        <f t="shared" si="85"/>
        <v>0</v>
      </c>
      <c r="BJ85" s="19" t="s">
        <v>587</v>
      </c>
      <c r="BK85" s="23" t="s">
        <v>588</v>
      </c>
      <c r="BL85" s="43">
        <f t="shared" si="86"/>
        <v>1421999.6867999998</v>
      </c>
      <c r="BM85" s="39">
        <f t="shared" si="87"/>
        <v>1270777.2</v>
      </c>
    </row>
    <row r="86" spans="1:65" ht="22.5">
      <c r="A86" s="10" t="s">
        <v>594</v>
      </c>
      <c r="B86" s="19" t="s">
        <v>595</v>
      </c>
      <c r="C86" s="66">
        <v>193</v>
      </c>
      <c r="D86" s="20" t="s">
        <v>596</v>
      </c>
      <c r="E86" s="41">
        <v>8078.84</v>
      </c>
      <c r="F86" s="21">
        <f t="shared" si="88"/>
        <v>807.88400000000001</v>
      </c>
      <c r="G86" s="21">
        <f t="shared" si="89"/>
        <v>153.49796000000001</v>
      </c>
      <c r="H86" s="21">
        <f t="shared" si="90"/>
        <v>9040.2219600000008</v>
      </c>
      <c r="J86" s="10">
        <f t="shared" si="60"/>
        <v>166</v>
      </c>
      <c r="K86" s="6">
        <v>20</v>
      </c>
      <c r="L86" s="6">
        <v>10</v>
      </c>
      <c r="M86" s="6">
        <v>10</v>
      </c>
      <c r="N86" s="243"/>
      <c r="O86" s="10">
        <v>12</v>
      </c>
      <c r="P86" s="6">
        <v>10</v>
      </c>
      <c r="Q86" s="6">
        <v>2</v>
      </c>
      <c r="R86" s="243">
        <v>10</v>
      </c>
      <c r="S86" s="6">
        <v>9</v>
      </c>
      <c r="T86" s="6">
        <v>10</v>
      </c>
      <c r="U86" s="243">
        <v>10</v>
      </c>
      <c r="V86" s="6">
        <v>5</v>
      </c>
      <c r="W86" s="6"/>
      <c r="X86" s="6">
        <v>6</v>
      </c>
      <c r="Y86" s="6">
        <v>6</v>
      </c>
      <c r="Z86" s="6"/>
      <c r="AA86" s="6"/>
      <c r="AB86" s="6">
        <v>8</v>
      </c>
      <c r="AC86" s="243">
        <v>10</v>
      </c>
      <c r="AD86" s="6"/>
      <c r="AE86" s="241">
        <v>8</v>
      </c>
      <c r="AF86" s="241">
        <v>2</v>
      </c>
      <c r="AG86" s="6">
        <v>4</v>
      </c>
      <c r="AH86" s="6">
        <v>4</v>
      </c>
      <c r="AI86" s="6">
        <v>10</v>
      </c>
      <c r="AK86" s="22">
        <f t="shared" si="61"/>
        <v>180804.43920000002</v>
      </c>
      <c r="AL86" s="22">
        <f t="shared" si="62"/>
        <v>90402.219600000011</v>
      </c>
      <c r="AM86" s="22">
        <f t="shared" si="63"/>
        <v>90402.219600000011</v>
      </c>
      <c r="AN86" s="22">
        <f t="shared" si="64"/>
        <v>0</v>
      </c>
      <c r="AO86" s="22">
        <f t="shared" si="65"/>
        <v>108482.66352</v>
      </c>
      <c r="AP86" s="22">
        <f t="shared" si="66"/>
        <v>90402.219600000011</v>
      </c>
      <c r="AQ86" s="22">
        <f t="shared" si="67"/>
        <v>18080.443920000002</v>
      </c>
      <c r="AR86" s="22">
        <f t="shared" si="68"/>
        <v>90402.219600000011</v>
      </c>
      <c r="AS86" s="22">
        <f t="shared" si="69"/>
        <v>81361.997640000001</v>
      </c>
      <c r="AT86" s="22">
        <f t="shared" si="70"/>
        <v>90402.219600000011</v>
      </c>
      <c r="AU86" s="22">
        <f t="shared" si="71"/>
        <v>90402.219600000011</v>
      </c>
      <c r="AV86" s="22">
        <f t="shared" si="72"/>
        <v>45201.109800000006</v>
      </c>
      <c r="AW86" s="22">
        <f t="shared" si="73"/>
        <v>0</v>
      </c>
      <c r="AX86" s="22">
        <f t="shared" si="74"/>
        <v>54241.331760000001</v>
      </c>
      <c r="AY86" s="22">
        <f t="shared" si="75"/>
        <v>54241.331760000001</v>
      </c>
      <c r="AZ86" s="22">
        <f t="shared" si="76"/>
        <v>0</v>
      </c>
      <c r="BA86" s="22">
        <f t="shared" si="77"/>
        <v>0</v>
      </c>
      <c r="BB86" s="22">
        <f t="shared" si="78"/>
        <v>72321.775680000006</v>
      </c>
      <c r="BC86" s="22">
        <f t="shared" si="79"/>
        <v>90402.219600000011</v>
      </c>
      <c r="BD86" s="22">
        <f t="shared" si="80"/>
        <v>0</v>
      </c>
      <c r="BE86" s="22">
        <f t="shared" si="81"/>
        <v>72321.775680000006</v>
      </c>
      <c r="BF86" s="22">
        <f t="shared" si="82"/>
        <v>18080.443920000002</v>
      </c>
      <c r="BG86" s="22">
        <f t="shared" si="83"/>
        <v>36160.887840000003</v>
      </c>
      <c r="BH86" s="22">
        <f t="shared" si="84"/>
        <v>36160.887840000003</v>
      </c>
      <c r="BI86" s="22">
        <f t="shared" si="85"/>
        <v>90402.219600000011</v>
      </c>
      <c r="BJ86" s="19" t="s">
        <v>594</v>
      </c>
      <c r="BK86" s="19" t="s">
        <v>595</v>
      </c>
      <c r="BL86" s="43">
        <f t="shared" si="86"/>
        <v>1500676.8453600002</v>
      </c>
      <c r="BM86" s="39">
        <f t="shared" si="87"/>
        <v>1341087.44</v>
      </c>
    </row>
    <row r="87" spans="1:65" ht="22.5">
      <c r="A87" s="10" t="s">
        <v>490</v>
      </c>
      <c r="B87" s="24" t="s">
        <v>491</v>
      </c>
      <c r="C87" s="66">
        <v>197</v>
      </c>
      <c r="D87" s="20" t="s">
        <v>597</v>
      </c>
      <c r="E87" s="41">
        <v>32621.89</v>
      </c>
      <c r="F87" s="21">
        <f t="shared" si="88"/>
        <v>3262.1890000000003</v>
      </c>
      <c r="G87" s="21">
        <f t="shared" si="89"/>
        <v>619.81591000000003</v>
      </c>
      <c r="H87" s="21">
        <f t="shared" si="90"/>
        <v>36503.894909999995</v>
      </c>
      <c r="J87" s="10">
        <f t="shared" si="60"/>
        <v>11</v>
      </c>
      <c r="K87" s="6"/>
      <c r="L87" s="6"/>
      <c r="M87" s="6"/>
      <c r="N87" s="243"/>
      <c r="O87" s="6"/>
      <c r="P87" s="6"/>
      <c r="Q87" s="6"/>
      <c r="R87" s="6"/>
      <c r="S87" s="6"/>
      <c r="T87" s="6"/>
      <c r="U87" s="6"/>
      <c r="V87" s="6"/>
      <c r="W87" s="6"/>
      <c r="X87" s="6"/>
      <c r="Y87" s="6"/>
      <c r="Z87" s="6">
        <v>3</v>
      </c>
      <c r="AA87" s="6">
        <v>6</v>
      </c>
      <c r="AB87" s="6">
        <v>2</v>
      </c>
      <c r="AC87" s="6"/>
      <c r="AD87" s="6"/>
      <c r="AE87" s="6"/>
      <c r="AF87" s="6"/>
      <c r="AG87" s="6"/>
      <c r="AH87" s="6"/>
      <c r="AI87" s="6"/>
      <c r="AK87" s="22">
        <f t="shared" si="61"/>
        <v>0</v>
      </c>
      <c r="AL87" s="22">
        <f t="shared" si="62"/>
        <v>0</v>
      </c>
      <c r="AM87" s="22">
        <f t="shared" si="63"/>
        <v>0</v>
      </c>
      <c r="AN87" s="22">
        <f t="shared" si="64"/>
        <v>0</v>
      </c>
      <c r="AO87" s="22">
        <f t="shared" si="65"/>
        <v>0</v>
      </c>
      <c r="AP87" s="22">
        <f t="shared" si="66"/>
        <v>0</v>
      </c>
      <c r="AQ87" s="22">
        <f t="shared" si="67"/>
        <v>0</v>
      </c>
      <c r="AR87" s="22">
        <f t="shared" si="68"/>
        <v>0</v>
      </c>
      <c r="AS87" s="22">
        <f t="shared" si="69"/>
        <v>0</v>
      </c>
      <c r="AT87" s="22">
        <f t="shared" si="70"/>
        <v>0</v>
      </c>
      <c r="AU87" s="22">
        <f t="shared" si="71"/>
        <v>0</v>
      </c>
      <c r="AV87" s="22">
        <f t="shared" si="72"/>
        <v>0</v>
      </c>
      <c r="AW87" s="22">
        <f t="shared" si="73"/>
        <v>0</v>
      </c>
      <c r="AX87" s="22">
        <f t="shared" si="74"/>
        <v>0</v>
      </c>
      <c r="AY87" s="22">
        <f t="shared" si="75"/>
        <v>0</v>
      </c>
      <c r="AZ87" s="22">
        <f t="shared" si="76"/>
        <v>109511.68472999998</v>
      </c>
      <c r="BA87" s="22">
        <f t="shared" si="77"/>
        <v>219023.36945999996</v>
      </c>
      <c r="BB87" s="22">
        <f t="shared" si="78"/>
        <v>73007.789819999991</v>
      </c>
      <c r="BC87" s="22">
        <f t="shared" si="79"/>
        <v>0</v>
      </c>
      <c r="BD87" s="22">
        <f t="shared" si="80"/>
        <v>0</v>
      </c>
      <c r="BE87" s="22">
        <f t="shared" si="81"/>
        <v>0</v>
      </c>
      <c r="BF87" s="22">
        <f t="shared" si="82"/>
        <v>0</v>
      </c>
      <c r="BG87" s="22">
        <f t="shared" si="83"/>
        <v>0</v>
      </c>
      <c r="BH87" s="22">
        <f t="shared" si="84"/>
        <v>0</v>
      </c>
      <c r="BI87" s="22">
        <f t="shared" si="85"/>
        <v>0</v>
      </c>
      <c r="BJ87" s="19" t="s">
        <v>490</v>
      </c>
      <c r="BK87" s="25" t="s">
        <v>491</v>
      </c>
      <c r="BL87" s="43">
        <f t="shared" si="86"/>
        <v>401542.84400999994</v>
      </c>
      <c r="BM87" s="39">
        <f t="shared" si="87"/>
        <v>358840.79</v>
      </c>
    </row>
    <row r="88" spans="1:65" ht="22.5">
      <c r="A88" s="10" t="s">
        <v>490</v>
      </c>
      <c r="B88" s="24" t="s">
        <v>491</v>
      </c>
      <c r="C88" s="66">
        <v>198</v>
      </c>
      <c r="D88" s="20" t="s">
        <v>598</v>
      </c>
      <c r="E88" s="41">
        <v>27784.23</v>
      </c>
      <c r="F88" s="21">
        <f t="shared" si="88"/>
        <v>2778.4230000000002</v>
      </c>
      <c r="G88" s="21">
        <f t="shared" si="89"/>
        <v>527.90037000000007</v>
      </c>
      <c r="H88" s="21">
        <f t="shared" si="90"/>
        <v>31090.553369999998</v>
      </c>
      <c r="J88" s="10">
        <f t="shared" si="60"/>
        <v>4</v>
      </c>
      <c r="K88" s="6"/>
      <c r="L88" s="6"/>
      <c r="M88" s="6"/>
      <c r="N88" s="243"/>
      <c r="O88" s="10">
        <v>4</v>
      </c>
      <c r="P88" s="6"/>
      <c r="Q88" s="6"/>
      <c r="R88" s="6"/>
      <c r="S88" s="6"/>
      <c r="T88" s="6"/>
      <c r="U88" s="6"/>
      <c r="V88" s="6"/>
      <c r="W88" s="6"/>
      <c r="X88" s="6"/>
      <c r="Y88" s="6"/>
      <c r="Z88" s="6"/>
      <c r="AA88" s="6"/>
      <c r="AB88" s="6"/>
      <c r="AC88" s="6"/>
      <c r="AD88" s="6"/>
      <c r="AE88" s="6"/>
      <c r="AF88" s="6"/>
      <c r="AG88" s="6"/>
      <c r="AH88" s="6"/>
      <c r="AI88" s="6"/>
      <c r="AK88" s="22">
        <f t="shared" si="61"/>
        <v>0</v>
      </c>
      <c r="AL88" s="22">
        <f t="shared" si="62"/>
        <v>0</v>
      </c>
      <c r="AM88" s="22">
        <f t="shared" si="63"/>
        <v>0</v>
      </c>
      <c r="AN88" s="22">
        <f t="shared" si="64"/>
        <v>0</v>
      </c>
      <c r="AO88" s="22">
        <f t="shared" si="65"/>
        <v>124362.21347999999</v>
      </c>
      <c r="AP88" s="22">
        <f t="shared" si="66"/>
        <v>0</v>
      </c>
      <c r="AQ88" s="22">
        <f t="shared" si="67"/>
        <v>0</v>
      </c>
      <c r="AR88" s="22">
        <f t="shared" si="68"/>
        <v>0</v>
      </c>
      <c r="AS88" s="22">
        <f t="shared" si="69"/>
        <v>0</v>
      </c>
      <c r="AT88" s="22">
        <f t="shared" si="70"/>
        <v>0</v>
      </c>
      <c r="AU88" s="22">
        <f t="shared" si="71"/>
        <v>0</v>
      </c>
      <c r="AV88" s="22">
        <f t="shared" si="72"/>
        <v>0</v>
      </c>
      <c r="AW88" s="22">
        <f t="shared" si="73"/>
        <v>0</v>
      </c>
      <c r="AX88" s="22">
        <f t="shared" si="74"/>
        <v>0</v>
      </c>
      <c r="AY88" s="22">
        <f t="shared" si="75"/>
        <v>0</v>
      </c>
      <c r="AZ88" s="22">
        <f t="shared" si="76"/>
        <v>0</v>
      </c>
      <c r="BA88" s="22">
        <f t="shared" si="77"/>
        <v>0</v>
      </c>
      <c r="BB88" s="22">
        <f t="shared" si="78"/>
        <v>0</v>
      </c>
      <c r="BC88" s="22">
        <f t="shared" si="79"/>
        <v>0</v>
      </c>
      <c r="BD88" s="22">
        <f t="shared" si="80"/>
        <v>0</v>
      </c>
      <c r="BE88" s="22">
        <f t="shared" si="81"/>
        <v>0</v>
      </c>
      <c r="BF88" s="22">
        <f t="shared" si="82"/>
        <v>0</v>
      </c>
      <c r="BG88" s="22">
        <f t="shared" si="83"/>
        <v>0</v>
      </c>
      <c r="BH88" s="22">
        <f t="shared" si="84"/>
        <v>0</v>
      </c>
      <c r="BI88" s="22">
        <f t="shared" si="85"/>
        <v>0</v>
      </c>
      <c r="BJ88" s="19" t="s">
        <v>490</v>
      </c>
      <c r="BK88" s="25" t="s">
        <v>491</v>
      </c>
      <c r="BL88" s="43">
        <f t="shared" si="86"/>
        <v>124362.21347999999</v>
      </c>
      <c r="BM88" s="39">
        <f t="shared" si="87"/>
        <v>111136.92</v>
      </c>
    </row>
    <row r="89" spans="1:65" ht="22.5">
      <c r="A89" s="10" t="s">
        <v>490</v>
      </c>
      <c r="B89" s="24" t="s">
        <v>491</v>
      </c>
      <c r="C89" s="66">
        <v>199</v>
      </c>
      <c r="D89" s="20" t="s">
        <v>599</v>
      </c>
      <c r="E89" s="41">
        <v>14544.87</v>
      </c>
      <c r="F89" s="21">
        <f t="shared" si="88"/>
        <v>1454.4870000000001</v>
      </c>
      <c r="G89" s="21">
        <f t="shared" si="89"/>
        <v>276.35253</v>
      </c>
      <c r="H89" s="21">
        <f t="shared" si="90"/>
        <v>16275.70953</v>
      </c>
      <c r="J89" s="10">
        <f t="shared" si="60"/>
        <v>3</v>
      </c>
      <c r="K89" s="6"/>
      <c r="L89" s="6"/>
      <c r="M89" s="6"/>
      <c r="N89" s="243"/>
      <c r="O89" s="6"/>
      <c r="P89" s="6"/>
      <c r="Q89" s="6"/>
      <c r="R89" s="6"/>
      <c r="S89" s="6"/>
      <c r="T89" s="6"/>
      <c r="U89" s="6"/>
      <c r="V89" s="6"/>
      <c r="W89" s="6"/>
      <c r="X89" s="6"/>
      <c r="Y89" s="6"/>
      <c r="Z89" s="6">
        <v>3</v>
      </c>
      <c r="AA89" s="6"/>
      <c r="AB89" s="6"/>
      <c r="AC89" s="6"/>
      <c r="AD89" s="6"/>
      <c r="AE89" s="6"/>
      <c r="AF89" s="6"/>
      <c r="AG89" s="6"/>
      <c r="AH89" s="6"/>
      <c r="AI89" s="6"/>
      <c r="AK89" s="22">
        <f t="shared" si="61"/>
        <v>0</v>
      </c>
      <c r="AL89" s="22">
        <f t="shared" si="62"/>
        <v>0</v>
      </c>
      <c r="AM89" s="22">
        <f t="shared" si="63"/>
        <v>0</v>
      </c>
      <c r="AN89" s="22">
        <f t="shared" si="64"/>
        <v>0</v>
      </c>
      <c r="AO89" s="22">
        <f t="shared" si="65"/>
        <v>0</v>
      </c>
      <c r="AP89" s="22">
        <f t="shared" si="66"/>
        <v>0</v>
      </c>
      <c r="AQ89" s="22">
        <f t="shared" si="67"/>
        <v>0</v>
      </c>
      <c r="AR89" s="22">
        <f t="shared" si="68"/>
        <v>0</v>
      </c>
      <c r="AS89" s="22">
        <f t="shared" si="69"/>
        <v>0</v>
      </c>
      <c r="AT89" s="22">
        <f t="shared" si="70"/>
        <v>0</v>
      </c>
      <c r="AU89" s="22">
        <f t="shared" si="71"/>
        <v>0</v>
      </c>
      <c r="AV89" s="22">
        <f t="shared" si="72"/>
        <v>0</v>
      </c>
      <c r="AW89" s="22">
        <f t="shared" si="73"/>
        <v>0</v>
      </c>
      <c r="AX89" s="22">
        <f t="shared" si="74"/>
        <v>0</v>
      </c>
      <c r="AY89" s="22">
        <f t="shared" si="75"/>
        <v>0</v>
      </c>
      <c r="AZ89" s="22">
        <f t="shared" si="76"/>
        <v>48827.12859</v>
      </c>
      <c r="BA89" s="22">
        <f t="shared" si="77"/>
        <v>0</v>
      </c>
      <c r="BB89" s="22">
        <f t="shared" si="78"/>
        <v>0</v>
      </c>
      <c r="BC89" s="22">
        <f t="shared" si="79"/>
        <v>0</v>
      </c>
      <c r="BD89" s="22">
        <f t="shared" si="80"/>
        <v>0</v>
      </c>
      <c r="BE89" s="22">
        <f t="shared" si="81"/>
        <v>0</v>
      </c>
      <c r="BF89" s="22">
        <f t="shared" si="82"/>
        <v>0</v>
      </c>
      <c r="BG89" s="22">
        <f t="shared" si="83"/>
        <v>0</v>
      </c>
      <c r="BH89" s="22">
        <f t="shared" si="84"/>
        <v>0</v>
      </c>
      <c r="BI89" s="22">
        <f t="shared" si="85"/>
        <v>0</v>
      </c>
      <c r="BJ89" s="19" t="s">
        <v>490</v>
      </c>
      <c r="BK89" s="25" t="s">
        <v>491</v>
      </c>
      <c r="BL89" s="43">
        <f t="shared" si="86"/>
        <v>48827.12859</v>
      </c>
      <c r="BM89" s="39">
        <f t="shared" si="87"/>
        <v>43634.61</v>
      </c>
    </row>
    <row r="90" spans="1:65" ht="22.5">
      <c r="A90" s="10" t="s">
        <v>490</v>
      </c>
      <c r="B90" s="24" t="s">
        <v>491</v>
      </c>
      <c r="C90" s="66">
        <v>200</v>
      </c>
      <c r="D90" s="20" t="s">
        <v>600</v>
      </c>
      <c r="E90" s="41">
        <v>13897.93</v>
      </c>
      <c r="F90" s="21">
        <f t="shared" si="88"/>
        <v>1389.7930000000001</v>
      </c>
      <c r="G90" s="21">
        <f t="shared" si="89"/>
        <v>264.06067000000002</v>
      </c>
      <c r="H90" s="21">
        <f t="shared" si="90"/>
        <v>15551.783670000001</v>
      </c>
      <c r="J90" s="10">
        <f t="shared" si="60"/>
        <v>0</v>
      </c>
      <c r="K90" s="6"/>
      <c r="L90" s="6"/>
      <c r="M90" s="6"/>
      <c r="N90" s="243"/>
      <c r="O90" s="6"/>
      <c r="P90" s="6"/>
      <c r="Q90" s="6"/>
      <c r="R90" s="6"/>
      <c r="S90" s="6"/>
      <c r="T90" s="6"/>
      <c r="U90" s="6"/>
      <c r="V90" s="6"/>
      <c r="W90" s="6"/>
      <c r="X90" s="6"/>
      <c r="Y90" s="6"/>
      <c r="Z90" s="6"/>
      <c r="AA90" s="6"/>
      <c r="AB90" s="6"/>
      <c r="AC90" s="6"/>
      <c r="AD90" s="6"/>
      <c r="AE90" s="6"/>
      <c r="AF90" s="6"/>
      <c r="AG90" s="6"/>
      <c r="AH90" s="6"/>
      <c r="AI90" s="6"/>
      <c r="AK90" s="22">
        <f t="shared" si="61"/>
        <v>0</v>
      </c>
      <c r="AL90" s="22">
        <f t="shared" si="62"/>
        <v>0</v>
      </c>
      <c r="AM90" s="22">
        <f t="shared" si="63"/>
        <v>0</v>
      </c>
      <c r="AN90" s="22">
        <f t="shared" si="64"/>
        <v>0</v>
      </c>
      <c r="AO90" s="22">
        <f t="shared" si="65"/>
        <v>0</v>
      </c>
      <c r="AP90" s="22">
        <f t="shared" si="66"/>
        <v>0</v>
      </c>
      <c r="AQ90" s="22">
        <f t="shared" si="67"/>
        <v>0</v>
      </c>
      <c r="AR90" s="22">
        <f t="shared" si="68"/>
        <v>0</v>
      </c>
      <c r="AS90" s="22">
        <f t="shared" si="69"/>
        <v>0</v>
      </c>
      <c r="AT90" s="22">
        <f t="shared" si="70"/>
        <v>0</v>
      </c>
      <c r="AU90" s="22">
        <f t="shared" si="71"/>
        <v>0</v>
      </c>
      <c r="AV90" s="22">
        <f t="shared" si="72"/>
        <v>0</v>
      </c>
      <c r="AW90" s="22">
        <f t="shared" si="73"/>
        <v>0</v>
      </c>
      <c r="AX90" s="22">
        <f t="shared" si="74"/>
        <v>0</v>
      </c>
      <c r="AY90" s="22">
        <f t="shared" si="75"/>
        <v>0</v>
      </c>
      <c r="AZ90" s="22">
        <f t="shared" si="76"/>
        <v>0</v>
      </c>
      <c r="BA90" s="22">
        <f t="shared" si="77"/>
        <v>0</v>
      </c>
      <c r="BB90" s="22">
        <f t="shared" si="78"/>
        <v>0</v>
      </c>
      <c r="BC90" s="22">
        <f t="shared" si="79"/>
        <v>0</v>
      </c>
      <c r="BD90" s="22">
        <f t="shared" si="80"/>
        <v>0</v>
      </c>
      <c r="BE90" s="22">
        <f t="shared" si="81"/>
        <v>0</v>
      </c>
      <c r="BF90" s="22">
        <f t="shared" si="82"/>
        <v>0</v>
      </c>
      <c r="BG90" s="22">
        <f t="shared" si="83"/>
        <v>0</v>
      </c>
      <c r="BH90" s="22">
        <f t="shared" si="84"/>
        <v>0</v>
      </c>
      <c r="BI90" s="22">
        <f t="shared" si="85"/>
        <v>0</v>
      </c>
      <c r="BJ90" s="19" t="s">
        <v>490</v>
      </c>
      <c r="BK90" s="25" t="s">
        <v>491</v>
      </c>
      <c r="BL90" s="43">
        <f t="shared" si="86"/>
        <v>0</v>
      </c>
      <c r="BM90" s="39">
        <f t="shared" si="87"/>
        <v>0</v>
      </c>
    </row>
    <row r="91" spans="1:65" ht="33.75">
      <c r="A91" s="29" t="s">
        <v>535</v>
      </c>
      <c r="B91" s="30" t="s">
        <v>536</v>
      </c>
      <c r="C91" s="66">
        <v>201</v>
      </c>
      <c r="D91" s="31" t="s">
        <v>601</v>
      </c>
      <c r="E91" s="41">
        <v>1902.9</v>
      </c>
      <c r="F91" s="21">
        <f t="shared" si="88"/>
        <v>190.29000000000002</v>
      </c>
      <c r="G91" s="21">
        <f t="shared" si="89"/>
        <v>36.155100000000004</v>
      </c>
      <c r="H91" s="21">
        <f t="shared" si="90"/>
        <v>2129.3451</v>
      </c>
      <c r="J91" s="10">
        <f t="shared" si="60"/>
        <v>4</v>
      </c>
      <c r="K91" s="6"/>
      <c r="L91" s="6"/>
      <c r="M91" s="6"/>
      <c r="N91" s="6"/>
      <c r="O91" s="6"/>
      <c r="P91" s="6"/>
      <c r="Q91" s="6"/>
      <c r="R91" s="6"/>
      <c r="S91" s="6"/>
      <c r="T91" s="6"/>
      <c r="U91" s="6"/>
      <c r="V91" s="6">
        <v>2</v>
      </c>
      <c r="W91" s="223">
        <v>0</v>
      </c>
      <c r="X91" s="6"/>
      <c r="Y91" s="6"/>
      <c r="Z91" s="6"/>
      <c r="AA91" s="6"/>
      <c r="AB91" s="6">
        <v>2</v>
      </c>
      <c r="AC91" s="6"/>
      <c r="AD91" s="6"/>
      <c r="AE91" s="6"/>
      <c r="AF91" s="6"/>
      <c r="AG91" s="6"/>
      <c r="AH91" s="6"/>
      <c r="AI91" s="6"/>
      <c r="AK91" s="22">
        <f t="shared" si="61"/>
        <v>0</v>
      </c>
      <c r="AL91" s="22">
        <f t="shared" si="62"/>
        <v>0</v>
      </c>
      <c r="AM91" s="22">
        <f t="shared" si="63"/>
        <v>0</v>
      </c>
      <c r="AN91" s="22">
        <f t="shared" si="64"/>
        <v>0</v>
      </c>
      <c r="AO91" s="22">
        <f t="shared" si="65"/>
        <v>0</v>
      </c>
      <c r="AP91" s="22">
        <f t="shared" si="66"/>
        <v>0</v>
      </c>
      <c r="AQ91" s="22">
        <f t="shared" si="67"/>
        <v>0</v>
      </c>
      <c r="AR91" s="22">
        <f t="shared" si="68"/>
        <v>0</v>
      </c>
      <c r="AS91" s="22">
        <f t="shared" si="69"/>
        <v>0</v>
      </c>
      <c r="AT91" s="22">
        <f t="shared" si="70"/>
        <v>0</v>
      </c>
      <c r="AU91" s="22">
        <f t="shared" si="71"/>
        <v>0</v>
      </c>
      <c r="AV91" s="22">
        <f t="shared" si="72"/>
        <v>4258.6902</v>
      </c>
      <c r="AW91" s="22">
        <f t="shared" si="73"/>
        <v>0</v>
      </c>
      <c r="AX91" s="22">
        <f t="shared" si="74"/>
        <v>0</v>
      </c>
      <c r="AY91" s="22">
        <f t="shared" si="75"/>
        <v>0</v>
      </c>
      <c r="AZ91" s="22">
        <f t="shared" si="76"/>
        <v>0</v>
      </c>
      <c r="BA91" s="22">
        <f t="shared" si="77"/>
        <v>0</v>
      </c>
      <c r="BB91" s="22">
        <f t="shared" si="78"/>
        <v>4258.6902</v>
      </c>
      <c r="BC91" s="22">
        <f t="shared" si="79"/>
        <v>0</v>
      </c>
      <c r="BD91" s="22">
        <f t="shared" si="80"/>
        <v>0</v>
      </c>
      <c r="BE91" s="22">
        <f t="shared" si="81"/>
        <v>0</v>
      </c>
      <c r="BF91" s="22">
        <f t="shared" si="82"/>
        <v>0</v>
      </c>
      <c r="BG91" s="22">
        <f t="shared" si="83"/>
        <v>0</v>
      </c>
      <c r="BH91" s="22">
        <f t="shared" si="84"/>
        <v>0</v>
      </c>
      <c r="BI91" s="22">
        <f t="shared" si="85"/>
        <v>0</v>
      </c>
      <c r="BJ91" s="32" t="s">
        <v>535</v>
      </c>
      <c r="BK91" s="30" t="s">
        <v>536</v>
      </c>
      <c r="BL91" s="43">
        <f t="shared" si="86"/>
        <v>8517.3804</v>
      </c>
      <c r="BM91" s="39">
        <f t="shared" si="87"/>
        <v>7611.6</v>
      </c>
    </row>
    <row r="92" spans="1:65" ht="33.75">
      <c r="A92" s="10" t="s">
        <v>602</v>
      </c>
      <c r="B92" s="23" t="s">
        <v>603</v>
      </c>
      <c r="C92" s="66">
        <v>205</v>
      </c>
      <c r="D92" s="31" t="s">
        <v>604</v>
      </c>
      <c r="E92" s="41">
        <v>1860.58</v>
      </c>
      <c r="F92" s="21">
        <f t="shared" si="88"/>
        <v>186.05799999999999</v>
      </c>
      <c r="G92" s="21">
        <f t="shared" si="89"/>
        <v>35.351019999999998</v>
      </c>
      <c r="H92" s="21">
        <f t="shared" si="90"/>
        <v>2081.98902</v>
      </c>
      <c r="J92" s="10">
        <f t="shared" si="60"/>
        <v>12</v>
      </c>
      <c r="K92" s="193"/>
      <c r="L92" s="193"/>
      <c r="M92" s="193"/>
      <c r="N92" s="193"/>
      <c r="O92" s="193">
        <v>1</v>
      </c>
      <c r="P92" s="193"/>
      <c r="Q92" s="193"/>
      <c r="R92" s="193"/>
      <c r="S92" s="193"/>
      <c r="T92" s="193"/>
      <c r="U92" s="193"/>
      <c r="V92" s="197">
        <v>4</v>
      </c>
      <c r="W92" s="193"/>
      <c r="X92" s="193"/>
      <c r="Y92" s="193"/>
      <c r="Z92" s="193"/>
      <c r="AA92" s="193"/>
      <c r="AB92" s="197">
        <v>2</v>
      </c>
      <c r="AC92" s="193"/>
      <c r="AD92" s="193"/>
      <c r="AE92" s="193"/>
      <c r="AF92" s="193">
        <v>2</v>
      </c>
      <c r="AG92" s="193"/>
      <c r="AH92" s="193">
        <v>3</v>
      </c>
      <c r="AI92" s="193"/>
      <c r="AK92" s="22">
        <f t="shared" si="61"/>
        <v>0</v>
      </c>
      <c r="AL92" s="22">
        <f t="shared" si="62"/>
        <v>0</v>
      </c>
      <c r="AM92" s="22">
        <f t="shared" si="63"/>
        <v>0</v>
      </c>
      <c r="AN92" s="22">
        <f t="shared" si="64"/>
        <v>0</v>
      </c>
      <c r="AO92" s="22">
        <f t="shared" si="65"/>
        <v>2081.98902</v>
      </c>
      <c r="AP92" s="22">
        <f t="shared" si="66"/>
        <v>0</v>
      </c>
      <c r="AQ92" s="22">
        <f t="shared" si="67"/>
        <v>0</v>
      </c>
      <c r="AR92" s="22">
        <f t="shared" si="68"/>
        <v>0</v>
      </c>
      <c r="AS92" s="22">
        <f t="shared" si="69"/>
        <v>0</v>
      </c>
      <c r="AT92" s="22">
        <f t="shared" si="70"/>
        <v>0</v>
      </c>
      <c r="AU92" s="22">
        <f t="shared" si="71"/>
        <v>0</v>
      </c>
      <c r="AV92" s="22">
        <f t="shared" si="72"/>
        <v>8327.9560799999999</v>
      </c>
      <c r="AW92" s="22">
        <f t="shared" si="73"/>
        <v>0</v>
      </c>
      <c r="AX92" s="22">
        <f t="shared" si="74"/>
        <v>0</v>
      </c>
      <c r="AY92" s="22">
        <f t="shared" si="75"/>
        <v>0</v>
      </c>
      <c r="AZ92" s="22">
        <f t="shared" si="76"/>
        <v>0</v>
      </c>
      <c r="BA92" s="22">
        <f t="shared" si="77"/>
        <v>0</v>
      </c>
      <c r="BB92" s="22">
        <f t="shared" si="78"/>
        <v>4163.97804</v>
      </c>
      <c r="BC92" s="22">
        <f t="shared" si="79"/>
        <v>0</v>
      </c>
      <c r="BD92" s="22">
        <f t="shared" si="80"/>
        <v>0</v>
      </c>
      <c r="BE92" s="22">
        <f t="shared" si="81"/>
        <v>0</v>
      </c>
      <c r="BF92" s="22">
        <f t="shared" si="82"/>
        <v>4163.97804</v>
      </c>
      <c r="BG92" s="22">
        <f t="shared" si="83"/>
        <v>0</v>
      </c>
      <c r="BH92" s="22">
        <f t="shared" si="84"/>
        <v>6245.9670599999999</v>
      </c>
      <c r="BI92" s="22">
        <f t="shared" si="85"/>
        <v>0</v>
      </c>
      <c r="BJ92" s="19" t="s">
        <v>602</v>
      </c>
      <c r="BK92" s="23" t="s">
        <v>603</v>
      </c>
      <c r="BL92" s="43">
        <f t="shared" si="86"/>
        <v>24983.86824</v>
      </c>
      <c r="BM92" s="39">
        <f t="shared" si="87"/>
        <v>22326.959999999999</v>
      </c>
    </row>
    <row r="93" spans="1:65" ht="78.75">
      <c r="A93" s="10" t="s">
        <v>605</v>
      </c>
      <c r="B93" s="23" t="s">
        <v>606</v>
      </c>
      <c r="C93" s="66">
        <v>207</v>
      </c>
      <c r="D93" s="31" t="s">
        <v>607</v>
      </c>
      <c r="E93" s="41">
        <v>1238.17</v>
      </c>
      <c r="F93" s="21">
        <f t="shared" si="88"/>
        <v>123.81700000000001</v>
      </c>
      <c r="G93" s="21">
        <f t="shared" si="89"/>
        <v>23.525230000000001</v>
      </c>
      <c r="H93" s="21">
        <f t="shared" si="90"/>
        <v>1385.51223</v>
      </c>
      <c r="J93" s="10">
        <f t="shared" si="60"/>
        <v>69</v>
      </c>
      <c r="K93" s="6">
        <v>40</v>
      </c>
      <c r="L93" s="6">
        <v>2</v>
      </c>
      <c r="M93" s="6">
        <v>2</v>
      </c>
      <c r="N93" s="6"/>
      <c r="O93" s="10">
        <v>4</v>
      </c>
      <c r="P93" s="6"/>
      <c r="Q93" s="6"/>
      <c r="R93" s="6"/>
      <c r="S93" s="6">
        <v>2</v>
      </c>
      <c r="T93" s="6">
        <v>2</v>
      </c>
      <c r="U93" s="6">
        <v>2</v>
      </c>
      <c r="V93" s="6">
        <v>8</v>
      </c>
      <c r="W93" s="6"/>
      <c r="X93" s="6"/>
      <c r="Y93" s="6">
        <v>2</v>
      </c>
      <c r="Z93" s="6"/>
      <c r="AA93" s="6"/>
      <c r="AB93" s="6">
        <v>5</v>
      </c>
      <c r="AC93" s="6"/>
      <c r="AD93" s="6"/>
      <c r="AE93" s="6"/>
      <c r="AF93" s="6"/>
      <c r="AG93" s="6"/>
      <c r="AH93" s="6"/>
      <c r="AI93" s="6"/>
      <c r="AK93" s="22">
        <f t="shared" si="61"/>
        <v>55420.489200000004</v>
      </c>
      <c r="AL93" s="22">
        <f t="shared" si="62"/>
        <v>2771.0244600000001</v>
      </c>
      <c r="AM93" s="22">
        <f t="shared" si="63"/>
        <v>2771.0244600000001</v>
      </c>
      <c r="AN93" s="22">
        <f t="shared" si="64"/>
        <v>0</v>
      </c>
      <c r="AO93" s="22">
        <f t="shared" si="65"/>
        <v>5542.0489200000002</v>
      </c>
      <c r="AP93" s="22">
        <f t="shared" si="66"/>
        <v>0</v>
      </c>
      <c r="AQ93" s="22">
        <f t="shared" si="67"/>
        <v>0</v>
      </c>
      <c r="AR93" s="22">
        <f t="shared" si="68"/>
        <v>0</v>
      </c>
      <c r="AS93" s="22">
        <f t="shared" si="69"/>
        <v>2771.0244600000001</v>
      </c>
      <c r="AT93" s="22">
        <f t="shared" si="70"/>
        <v>2771.0244600000001</v>
      </c>
      <c r="AU93" s="22">
        <f t="shared" si="71"/>
        <v>2771.0244600000001</v>
      </c>
      <c r="AV93" s="22">
        <f t="shared" si="72"/>
        <v>11084.09784</v>
      </c>
      <c r="AW93" s="22">
        <f t="shared" si="73"/>
        <v>0</v>
      </c>
      <c r="AX93" s="22">
        <f t="shared" si="74"/>
        <v>0</v>
      </c>
      <c r="AY93" s="22">
        <f t="shared" si="75"/>
        <v>2771.0244600000001</v>
      </c>
      <c r="AZ93" s="22">
        <f t="shared" si="76"/>
        <v>0</v>
      </c>
      <c r="BA93" s="22">
        <f t="shared" si="77"/>
        <v>0</v>
      </c>
      <c r="BB93" s="22">
        <f t="shared" si="78"/>
        <v>6927.5611500000005</v>
      </c>
      <c r="BC93" s="22">
        <f t="shared" si="79"/>
        <v>0</v>
      </c>
      <c r="BD93" s="22">
        <f t="shared" si="80"/>
        <v>0</v>
      </c>
      <c r="BE93" s="22">
        <f t="shared" si="81"/>
        <v>0</v>
      </c>
      <c r="BF93" s="22">
        <f t="shared" si="82"/>
        <v>0</v>
      </c>
      <c r="BG93" s="22">
        <f t="shared" si="83"/>
        <v>0</v>
      </c>
      <c r="BH93" s="22">
        <f t="shared" si="84"/>
        <v>0</v>
      </c>
      <c r="BI93" s="22">
        <f t="shared" si="85"/>
        <v>0</v>
      </c>
      <c r="BJ93" s="19" t="s">
        <v>605</v>
      </c>
      <c r="BK93" s="23" t="s">
        <v>606</v>
      </c>
      <c r="BL93" s="43">
        <f t="shared" si="86"/>
        <v>95600.343869999997</v>
      </c>
      <c r="BM93" s="39">
        <f t="shared" si="87"/>
        <v>85433.73000000001</v>
      </c>
    </row>
    <row r="94" spans="1:65" ht="22.5">
      <c r="A94" s="10" t="s">
        <v>608</v>
      </c>
      <c r="B94" s="23" t="s">
        <v>609</v>
      </c>
      <c r="C94" s="66">
        <v>211</v>
      </c>
      <c r="D94" s="31" t="s">
        <v>610</v>
      </c>
      <c r="E94" s="41">
        <v>1396.68</v>
      </c>
      <c r="F94" s="21">
        <f t="shared" si="88"/>
        <v>139.66800000000001</v>
      </c>
      <c r="G94" s="21">
        <f t="shared" si="89"/>
        <v>26.536920000000002</v>
      </c>
      <c r="H94" s="21">
        <f t="shared" si="90"/>
        <v>1562.88492</v>
      </c>
      <c r="J94" s="10">
        <f t="shared" si="60"/>
        <v>2</v>
      </c>
      <c r="K94" s="6"/>
      <c r="L94" s="6"/>
      <c r="M94" s="6"/>
      <c r="N94" s="6"/>
      <c r="O94" s="6"/>
      <c r="P94" s="6"/>
      <c r="Q94" s="6"/>
      <c r="R94" s="6"/>
      <c r="S94" s="6"/>
      <c r="T94" s="6"/>
      <c r="U94" s="6"/>
      <c r="V94" s="6"/>
      <c r="W94" s="6"/>
      <c r="X94" s="6"/>
      <c r="Y94" s="6"/>
      <c r="Z94" s="6"/>
      <c r="AA94" s="6">
        <v>2</v>
      </c>
      <c r="AB94" s="6"/>
      <c r="AC94" s="6"/>
      <c r="AD94" s="6"/>
      <c r="AE94" s="6"/>
      <c r="AF94" s="6"/>
      <c r="AG94" s="6"/>
      <c r="AH94" s="6"/>
      <c r="AI94" s="6"/>
      <c r="AK94" s="22">
        <f t="shared" si="61"/>
        <v>0</v>
      </c>
      <c r="AL94" s="22">
        <f t="shared" si="62"/>
        <v>0</v>
      </c>
      <c r="AM94" s="22">
        <f t="shared" si="63"/>
        <v>0</v>
      </c>
      <c r="AN94" s="22">
        <f t="shared" si="64"/>
        <v>0</v>
      </c>
      <c r="AO94" s="22">
        <f t="shared" si="65"/>
        <v>0</v>
      </c>
      <c r="AP94" s="22">
        <f t="shared" si="66"/>
        <v>0</v>
      </c>
      <c r="AQ94" s="22">
        <f t="shared" si="67"/>
        <v>0</v>
      </c>
      <c r="AR94" s="22">
        <f t="shared" si="68"/>
        <v>0</v>
      </c>
      <c r="AS94" s="22">
        <f t="shared" si="69"/>
        <v>0</v>
      </c>
      <c r="AT94" s="22">
        <f t="shared" si="70"/>
        <v>0</v>
      </c>
      <c r="AU94" s="22">
        <f t="shared" si="71"/>
        <v>0</v>
      </c>
      <c r="AV94" s="22">
        <f t="shared" si="72"/>
        <v>0</v>
      </c>
      <c r="AW94" s="22">
        <f t="shared" si="73"/>
        <v>0</v>
      </c>
      <c r="AX94" s="22">
        <f t="shared" si="74"/>
        <v>0</v>
      </c>
      <c r="AY94" s="22">
        <f t="shared" si="75"/>
        <v>0</v>
      </c>
      <c r="AZ94" s="22">
        <f t="shared" si="76"/>
        <v>0</v>
      </c>
      <c r="BA94" s="22">
        <f t="shared" si="77"/>
        <v>3125.7698399999999</v>
      </c>
      <c r="BB94" s="22">
        <f t="shared" si="78"/>
        <v>0</v>
      </c>
      <c r="BC94" s="22">
        <f t="shared" si="79"/>
        <v>0</v>
      </c>
      <c r="BD94" s="22">
        <f t="shared" si="80"/>
        <v>0</v>
      </c>
      <c r="BE94" s="22">
        <f t="shared" si="81"/>
        <v>0</v>
      </c>
      <c r="BF94" s="22">
        <f t="shared" si="82"/>
        <v>0</v>
      </c>
      <c r="BG94" s="22">
        <f t="shared" si="83"/>
        <v>0</v>
      </c>
      <c r="BH94" s="22">
        <f t="shared" si="84"/>
        <v>0</v>
      </c>
      <c r="BI94" s="22">
        <f t="shared" si="85"/>
        <v>0</v>
      </c>
      <c r="BJ94" s="19" t="s">
        <v>608</v>
      </c>
      <c r="BK94" s="23" t="s">
        <v>609</v>
      </c>
      <c r="BL94" s="43">
        <f t="shared" si="86"/>
        <v>3125.7698399999999</v>
      </c>
      <c r="BM94" s="39">
        <f t="shared" si="87"/>
        <v>2793.36</v>
      </c>
    </row>
    <row r="95" spans="1:65" ht="22.5">
      <c r="A95" s="10" t="s">
        <v>611</v>
      </c>
      <c r="B95" s="23" t="s">
        <v>612</v>
      </c>
      <c r="C95" s="66">
        <v>232</v>
      </c>
      <c r="D95" s="31" t="s">
        <v>613</v>
      </c>
      <c r="E95" s="41">
        <v>8444.5</v>
      </c>
      <c r="F95" s="21">
        <f t="shared" si="88"/>
        <v>844.45</v>
      </c>
      <c r="G95" s="21">
        <f t="shared" si="89"/>
        <v>160.44550000000001</v>
      </c>
      <c r="H95" s="21">
        <f t="shared" si="90"/>
        <v>9449.3955000000005</v>
      </c>
      <c r="J95" s="10">
        <f t="shared" si="60"/>
        <v>3</v>
      </c>
      <c r="K95" s="6"/>
      <c r="L95" s="6"/>
      <c r="M95" s="6"/>
      <c r="N95" s="6"/>
      <c r="O95" s="6"/>
      <c r="P95" s="6"/>
      <c r="Q95" s="6">
        <v>3</v>
      </c>
      <c r="R95" s="6"/>
      <c r="S95" s="6"/>
      <c r="T95" s="6"/>
      <c r="U95" s="6"/>
      <c r="V95" s="6"/>
      <c r="W95" s="6"/>
      <c r="X95" s="6"/>
      <c r="Y95" s="6"/>
      <c r="Z95" s="6"/>
      <c r="AA95" s="6"/>
      <c r="AB95" s="6"/>
      <c r="AC95" s="6"/>
      <c r="AD95" s="6"/>
      <c r="AE95" s="6"/>
      <c r="AF95" s="6"/>
      <c r="AG95" s="6"/>
      <c r="AH95" s="6"/>
      <c r="AI95" s="6"/>
      <c r="AK95" s="22">
        <f t="shared" si="61"/>
        <v>0</v>
      </c>
      <c r="AL95" s="22">
        <f t="shared" si="62"/>
        <v>0</v>
      </c>
      <c r="AM95" s="22">
        <f t="shared" si="63"/>
        <v>0</v>
      </c>
      <c r="AN95" s="22">
        <f t="shared" si="64"/>
        <v>0</v>
      </c>
      <c r="AO95" s="22">
        <f t="shared" si="65"/>
        <v>0</v>
      </c>
      <c r="AP95" s="22">
        <f t="shared" si="66"/>
        <v>0</v>
      </c>
      <c r="AQ95" s="22">
        <f t="shared" si="67"/>
        <v>28348.186500000003</v>
      </c>
      <c r="AR95" s="22">
        <f t="shared" si="68"/>
        <v>0</v>
      </c>
      <c r="AS95" s="22">
        <f t="shared" si="69"/>
        <v>0</v>
      </c>
      <c r="AT95" s="22">
        <f t="shared" si="70"/>
        <v>0</v>
      </c>
      <c r="AU95" s="22">
        <f t="shared" si="71"/>
        <v>0</v>
      </c>
      <c r="AV95" s="22">
        <f t="shared" si="72"/>
        <v>0</v>
      </c>
      <c r="AW95" s="22">
        <f t="shared" si="73"/>
        <v>0</v>
      </c>
      <c r="AX95" s="22">
        <f t="shared" si="74"/>
        <v>0</v>
      </c>
      <c r="AY95" s="22">
        <f t="shared" si="75"/>
        <v>0</v>
      </c>
      <c r="AZ95" s="22">
        <f t="shared" si="76"/>
        <v>0</v>
      </c>
      <c r="BA95" s="22">
        <f t="shared" si="77"/>
        <v>0</v>
      </c>
      <c r="BB95" s="22">
        <f t="shared" si="78"/>
        <v>0</v>
      </c>
      <c r="BC95" s="22">
        <f t="shared" si="79"/>
        <v>0</v>
      </c>
      <c r="BD95" s="22">
        <f t="shared" si="80"/>
        <v>0</v>
      </c>
      <c r="BE95" s="22">
        <f t="shared" si="81"/>
        <v>0</v>
      </c>
      <c r="BF95" s="22">
        <f t="shared" si="82"/>
        <v>0</v>
      </c>
      <c r="BG95" s="22">
        <f t="shared" si="83"/>
        <v>0</v>
      </c>
      <c r="BH95" s="22">
        <f t="shared" si="84"/>
        <v>0</v>
      </c>
      <c r="BI95" s="22">
        <f t="shared" si="85"/>
        <v>0</v>
      </c>
      <c r="BJ95" s="19" t="s">
        <v>611</v>
      </c>
      <c r="BK95" s="23" t="s">
        <v>612</v>
      </c>
      <c r="BL95" s="43">
        <f t="shared" si="86"/>
        <v>28348.186500000003</v>
      </c>
      <c r="BM95" s="39">
        <f t="shared" si="87"/>
        <v>25333.5</v>
      </c>
    </row>
    <row r="96" spans="1:65" ht="78.75">
      <c r="A96" s="10" t="s">
        <v>605</v>
      </c>
      <c r="B96" s="23" t="s">
        <v>606</v>
      </c>
      <c r="C96" s="66">
        <v>245</v>
      </c>
      <c r="D96" s="31" t="s">
        <v>614</v>
      </c>
      <c r="E96" s="41">
        <v>6983.4005004088831</v>
      </c>
      <c r="F96" s="21">
        <f t="shared" si="88"/>
        <v>698.3400500408884</v>
      </c>
      <c r="G96" s="21">
        <f t="shared" si="89"/>
        <v>132.68460950776878</v>
      </c>
      <c r="H96" s="21">
        <f t="shared" si="90"/>
        <v>7814.42515995754</v>
      </c>
      <c r="J96" s="10">
        <f t="shared" si="60"/>
        <v>0</v>
      </c>
      <c r="K96" s="6"/>
      <c r="L96" s="6"/>
      <c r="M96" s="6"/>
      <c r="N96" s="6"/>
      <c r="O96" s="6"/>
      <c r="P96" s="6"/>
      <c r="Q96" s="6"/>
      <c r="R96" s="6"/>
      <c r="S96" s="6"/>
      <c r="T96" s="6"/>
      <c r="U96" s="6"/>
      <c r="V96" s="6"/>
      <c r="W96" s="6"/>
      <c r="X96" s="6"/>
      <c r="Y96" s="6"/>
      <c r="Z96" s="6"/>
      <c r="AA96" s="6"/>
      <c r="AB96" s="6"/>
      <c r="AC96" s="6"/>
      <c r="AD96" s="6"/>
      <c r="AE96" s="6"/>
      <c r="AF96" s="6"/>
      <c r="AG96" s="6"/>
      <c r="AH96" s="6"/>
      <c r="AI96" s="6"/>
      <c r="AK96" s="22">
        <f t="shared" si="61"/>
        <v>0</v>
      </c>
      <c r="AL96" s="22">
        <f t="shared" si="62"/>
        <v>0</v>
      </c>
      <c r="AM96" s="22">
        <f t="shared" si="63"/>
        <v>0</v>
      </c>
      <c r="AN96" s="22">
        <f t="shared" si="64"/>
        <v>0</v>
      </c>
      <c r="AO96" s="22">
        <f t="shared" si="65"/>
        <v>0</v>
      </c>
      <c r="AP96" s="22">
        <f t="shared" si="66"/>
        <v>0</v>
      </c>
      <c r="AQ96" s="22">
        <f t="shared" si="67"/>
        <v>0</v>
      </c>
      <c r="AR96" s="22">
        <f t="shared" si="68"/>
        <v>0</v>
      </c>
      <c r="AS96" s="22">
        <f t="shared" si="69"/>
        <v>0</v>
      </c>
      <c r="AT96" s="22">
        <f t="shared" si="70"/>
        <v>0</v>
      </c>
      <c r="AU96" s="22">
        <f t="shared" si="71"/>
        <v>0</v>
      </c>
      <c r="AV96" s="22">
        <f t="shared" si="72"/>
        <v>0</v>
      </c>
      <c r="AW96" s="22">
        <f t="shared" si="73"/>
        <v>0</v>
      </c>
      <c r="AX96" s="22">
        <f t="shared" si="74"/>
        <v>0</v>
      </c>
      <c r="AY96" s="22">
        <f t="shared" si="75"/>
        <v>0</v>
      </c>
      <c r="AZ96" s="22">
        <f t="shared" si="76"/>
        <v>0</v>
      </c>
      <c r="BA96" s="22">
        <f t="shared" si="77"/>
        <v>0</v>
      </c>
      <c r="BB96" s="22">
        <f t="shared" si="78"/>
        <v>0</v>
      </c>
      <c r="BC96" s="22">
        <f t="shared" si="79"/>
        <v>0</v>
      </c>
      <c r="BD96" s="22">
        <f t="shared" si="80"/>
        <v>0</v>
      </c>
      <c r="BE96" s="22">
        <f t="shared" si="81"/>
        <v>0</v>
      </c>
      <c r="BF96" s="22">
        <f t="shared" si="82"/>
        <v>0</v>
      </c>
      <c r="BG96" s="22">
        <f t="shared" si="83"/>
        <v>0</v>
      </c>
      <c r="BH96" s="22">
        <f t="shared" si="84"/>
        <v>0</v>
      </c>
      <c r="BI96" s="22">
        <f t="shared" si="85"/>
        <v>0</v>
      </c>
      <c r="BJ96" s="19" t="s">
        <v>605</v>
      </c>
      <c r="BK96" s="23" t="s">
        <v>606</v>
      </c>
      <c r="BL96" s="43">
        <f t="shared" si="86"/>
        <v>0</v>
      </c>
      <c r="BM96" s="39">
        <f t="shared" si="87"/>
        <v>0</v>
      </c>
    </row>
    <row r="97" spans="1:70" ht="78.75">
      <c r="A97" s="10" t="s">
        <v>605</v>
      </c>
      <c r="B97" s="23" t="s">
        <v>606</v>
      </c>
      <c r="C97" s="66">
        <v>247</v>
      </c>
      <c r="D97" s="31" t="s">
        <v>615</v>
      </c>
      <c r="E97" s="41">
        <v>6983.4005004088831</v>
      </c>
      <c r="F97" s="21">
        <f t="shared" si="88"/>
        <v>698.3400500408884</v>
      </c>
      <c r="G97" s="21">
        <f t="shared" si="89"/>
        <v>132.68460950776878</v>
      </c>
      <c r="H97" s="21">
        <f t="shared" si="90"/>
        <v>7814.42515995754</v>
      </c>
      <c r="J97" s="10">
        <f t="shared" si="60"/>
        <v>0</v>
      </c>
      <c r="K97" s="6"/>
      <c r="L97" s="6"/>
      <c r="M97" s="6"/>
      <c r="N97" s="6"/>
      <c r="O97" s="6"/>
      <c r="P97" s="6"/>
      <c r="Q97" s="6"/>
      <c r="R97" s="6"/>
      <c r="S97" s="6"/>
      <c r="T97" s="6"/>
      <c r="U97" s="6"/>
      <c r="V97" s="6"/>
      <c r="W97" s="6"/>
      <c r="X97" s="6"/>
      <c r="Y97" s="6"/>
      <c r="Z97" s="6"/>
      <c r="AA97" s="6"/>
      <c r="AB97" s="6"/>
      <c r="AC97" s="6"/>
      <c r="AD97" s="6"/>
      <c r="AE97" s="6"/>
      <c r="AF97" s="6"/>
      <c r="AG97" s="6"/>
      <c r="AH97" s="6"/>
      <c r="AI97" s="6"/>
      <c r="AK97" s="22">
        <f t="shared" si="61"/>
        <v>0</v>
      </c>
      <c r="AL97" s="22">
        <f t="shared" si="62"/>
        <v>0</v>
      </c>
      <c r="AM97" s="22">
        <f t="shared" si="63"/>
        <v>0</v>
      </c>
      <c r="AN97" s="22">
        <f t="shared" si="64"/>
        <v>0</v>
      </c>
      <c r="AO97" s="22">
        <f t="shared" si="65"/>
        <v>0</v>
      </c>
      <c r="AP97" s="22">
        <f t="shared" si="66"/>
        <v>0</v>
      </c>
      <c r="AQ97" s="22">
        <f t="shared" si="67"/>
        <v>0</v>
      </c>
      <c r="AR97" s="22">
        <f t="shared" si="68"/>
        <v>0</v>
      </c>
      <c r="AS97" s="22">
        <f t="shared" si="69"/>
        <v>0</v>
      </c>
      <c r="AT97" s="22">
        <f t="shared" si="70"/>
        <v>0</v>
      </c>
      <c r="AU97" s="22">
        <f t="shared" si="71"/>
        <v>0</v>
      </c>
      <c r="AV97" s="22">
        <f t="shared" si="72"/>
        <v>0</v>
      </c>
      <c r="AW97" s="22">
        <f t="shared" si="73"/>
        <v>0</v>
      </c>
      <c r="AX97" s="22">
        <f t="shared" si="74"/>
        <v>0</v>
      </c>
      <c r="AY97" s="22">
        <f t="shared" si="75"/>
        <v>0</v>
      </c>
      <c r="AZ97" s="22">
        <f t="shared" si="76"/>
        <v>0</v>
      </c>
      <c r="BA97" s="22">
        <f t="shared" si="77"/>
        <v>0</v>
      </c>
      <c r="BB97" s="22">
        <f t="shared" si="78"/>
        <v>0</v>
      </c>
      <c r="BC97" s="22">
        <f t="shared" si="79"/>
        <v>0</v>
      </c>
      <c r="BD97" s="22">
        <f t="shared" si="80"/>
        <v>0</v>
      </c>
      <c r="BE97" s="22">
        <f t="shared" si="81"/>
        <v>0</v>
      </c>
      <c r="BF97" s="22">
        <f t="shared" si="82"/>
        <v>0</v>
      </c>
      <c r="BG97" s="22">
        <f t="shared" si="83"/>
        <v>0</v>
      </c>
      <c r="BH97" s="22">
        <f t="shared" si="84"/>
        <v>0</v>
      </c>
      <c r="BI97" s="22">
        <f t="shared" si="85"/>
        <v>0</v>
      </c>
      <c r="BJ97" s="19" t="s">
        <v>605</v>
      </c>
      <c r="BK97" s="23" t="s">
        <v>606</v>
      </c>
      <c r="BL97" s="43">
        <f t="shared" si="86"/>
        <v>0</v>
      </c>
      <c r="BM97" s="39">
        <f t="shared" si="87"/>
        <v>0</v>
      </c>
    </row>
    <row r="98" spans="1:70" ht="45">
      <c r="A98" s="33" t="s">
        <v>616</v>
      </c>
      <c r="B98" s="34" t="s">
        <v>617</v>
      </c>
      <c r="C98" s="66">
        <v>249</v>
      </c>
      <c r="D98" s="31" t="s">
        <v>618</v>
      </c>
      <c r="E98" s="41">
        <v>3842.3225569688802</v>
      </c>
      <c r="F98" s="21">
        <f t="shared" si="88"/>
        <v>384.23225569688805</v>
      </c>
      <c r="G98" s="21">
        <f t="shared" si="89"/>
        <v>73.004128582408725</v>
      </c>
      <c r="H98" s="21">
        <f t="shared" si="90"/>
        <v>4299.5589412481777</v>
      </c>
      <c r="J98" s="10">
        <f t="shared" si="60"/>
        <v>0</v>
      </c>
      <c r="K98" s="6"/>
      <c r="L98" s="10"/>
      <c r="M98" s="10"/>
      <c r="N98" s="10"/>
      <c r="O98" s="10"/>
      <c r="P98" s="10"/>
      <c r="Q98" s="10"/>
      <c r="R98" s="10"/>
      <c r="S98" s="10"/>
      <c r="T98" s="10"/>
      <c r="U98" s="10"/>
      <c r="V98" s="10"/>
      <c r="W98" s="10"/>
      <c r="X98" s="10"/>
      <c r="Y98" s="10"/>
      <c r="Z98" s="10"/>
      <c r="AA98" s="10"/>
      <c r="AB98" s="10"/>
      <c r="AC98" s="10"/>
      <c r="AD98" s="10"/>
      <c r="AE98" s="10"/>
      <c r="AF98" s="10"/>
      <c r="AG98" s="10"/>
      <c r="AH98" s="10"/>
      <c r="AI98" s="10"/>
      <c r="AK98" s="22">
        <f t="shared" si="61"/>
        <v>0</v>
      </c>
      <c r="AL98" s="22">
        <f t="shared" si="62"/>
        <v>0</v>
      </c>
      <c r="AM98" s="22">
        <f t="shared" si="63"/>
        <v>0</v>
      </c>
      <c r="AN98" s="22">
        <f t="shared" si="64"/>
        <v>0</v>
      </c>
      <c r="AO98" s="22">
        <f t="shared" si="65"/>
        <v>0</v>
      </c>
      <c r="AP98" s="22">
        <f t="shared" si="66"/>
        <v>0</v>
      </c>
      <c r="AQ98" s="22">
        <f t="shared" si="67"/>
        <v>0</v>
      </c>
      <c r="AR98" s="22">
        <f t="shared" si="68"/>
        <v>0</v>
      </c>
      <c r="AS98" s="22">
        <f t="shared" si="69"/>
        <v>0</v>
      </c>
      <c r="AT98" s="22">
        <f t="shared" si="70"/>
        <v>0</v>
      </c>
      <c r="AU98" s="22">
        <f t="shared" si="71"/>
        <v>0</v>
      </c>
      <c r="AV98" s="22">
        <f t="shared" si="72"/>
        <v>0</v>
      </c>
      <c r="AW98" s="22">
        <f t="shared" si="73"/>
        <v>0</v>
      </c>
      <c r="AX98" s="22">
        <f t="shared" si="74"/>
        <v>0</v>
      </c>
      <c r="AY98" s="22">
        <f t="shared" si="75"/>
        <v>0</v>
      </c>
      <c r="AZ98" s="22">
        <f t="shared" si="76"/>
        <v>0</v>
      </c>
      <c r="BA98" s="22">
        <f t="shared" si="77"/>
        <v>0</v>
      </c>
      <c r="BB98" s="22">
        <f t="shared" si="78"/>
        <v>0</v>
      </c>
      <c r="BC98" s="22">
        <f t="shared" si="79"/>
        <v>0</v>
      </c>
      <c r="BD98" s="22">
        <f t="shared" si="80"/>
        <v>0</v>
      </c>
      <c r="BE98" s="22">
        <f t="shared" si="81"/>
        <v>0</v>
      </c>
      <c r="BF98" s="22">
        <f t="shared" si="82"/>
        <v>0</v>
      </c>
      <c r="BG98" s="22">
        <f t="shared" si="83"/>
        <v>0</v>
      </c>
      <c r="BH98" s="22">
        <f t="shared" si="84"/>
        <v>0</v>
      </c>
      <c r="BI98" s="22">
        <f t="shared" si="85"/>
        <v>0</v>
      </c>
      <c r="BJ98" s="35" t="s">
        <v>616</v>
      </c>
      <c r="BK98" s="34" t="s">
        <v>617</v>
      </c>
      <c r="BL98" s="43">
        <f t="shared" si="86"/>
        <v>0</v>
      </c>
      <c r="BM98" s="39">
        <f t="shared" si="87"/>
        <v>0</v>
      </c>
    </row>
    <row r="99" spans="1:70" ht="78.75">
      <c r="A99" s="36" t="s">
        <v>605</v>
      </c>
      <c r="B99" s="20" t="s">
        <v>606</v>
      </c>
      <c r="C99" s="66">
        <v>264</v>
      </c>
      <c r="D99" s="31" t="s">
        <v>619</v>
      </c>
      <c r="E99" s="41">
        <v>556.01643912940597</v>
      </c>
      <c r="F99" s="21">
        <f t="shared" si="88"/>
        <v>55.601643912940602</v>
      </c>
      <c r="G99" s="21">
        <f t="shared" si="89"/>
        <v>10.564312343458715</v>
      </c>
      <c r="H99" s="21">
        <f t="shared" si="90"/>
        <v>622.18239538580531</v>
      </c>
      <c r="J99" s="10">
        <f t="shared" si="60"/>
        <v>10</v>
      </c>
      <c r="K99" s="167">
        <v>10</v>
      </c>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167"/>
      <c r="AI99" s="167"/>
      <c r="AK99" s="22">
        <f t="shared" si="61"/>
        <v>6221.8239538580528</v>
      </c>
      <c r="AL99" s="22">
        <f t="shared" si="62"/>
        <v>0</v>
      </c>
      <c r="AM99" s="22">
        <f t="shared" si="63"/>
        <v>0</v>
      </c>
      <c r="AN99" s="22">
        <f t="shared" si="64"/>
        <v>0</v>
      </c>
      <c r="AO99" s="22">
        <f t="shared" si="65"/>
        <v>0</v>
      </c>
      <c r="AP99" s="22">
        <f t="shared" si="66"/>
        <v>0</v>
      </c>
      <c r="AQ99" s="22">
        <f t="shared" si="67"/>
        <v>0</v>
      </c>
      <c r="AR99" s="22">
        <f t="shared" si="68"/>
        <v>0</v>
      </c>
      <c r="AS99" s="22">
        <f t="shared" si="69"/>
        <v>0</v>
      </c>
      <c r="AT99" s="22">
        <f t="shared" si="70"/>
        <v>0</v>
      </c>
      <c r="AU99" s="22">
        <f t="shared" si="71"/>
        <v>0</v>
      </c>
      <c r="AV99" s="22">
        <f t="shared" si="72"/>
        <v>0</v>
      </c>
      <c r="AW99" s="22">
        <f t="shared" si="73"/>
        <v>0</v>
      </c>
      <c r="AX99" s="22">
        <f t="shared" si="74"/>
        <v>0</v>
      </c>
      <c r="AY99" s="22">
        <f t="shared" si="75"/>
        <v>0</v>
      </c>
      <c r="AZ99" s="22">
        <f t="shared" si="76"/>
        <v>0</v>
      </c>
      <c r="BA99" s="22">
        <f t="shared" si="77"/>
        <v>0</v>
      </c>
      <c r="BB99" s="22">
        <f t="shared" si="78"/>
        <v>0</v>
      </c>
      <c r="BC99" s="22">
        <f t="shared" si="79"/>
        <v>0</v>
      </c>
      <c r="BD99" s="22">
        <f t="shared" si="80"/>
        <v>0</v>
      </c>
      <c r="BE99" s="22">
        <f t="shared" si="81"/>
        <v>0</v>
      </c>
      <c r="BF99" s="22">
        <f t="shared" si="82"/>
        <v>0</v>
      </c>
      <c r="BG99" s="22">
        <f t="shared" si="83"/>
        <v>0</v>
      </c>
      <c r="BH99" s="22">
        <f t="shared" si="84"/>
        <v>0</v>
      </c>
      <c r="BI99" s="22">
        <f t="shared" si="85"/>
        <v>0</v>
      </c>
      <c r="BJ99" s="37" t="s">
        <v>605</v>
      </c>
      <c r="BK99" s="20" t="s">
        <v>606</v>
      </c>
      <c r="BL99" s="43">
        <f t="shared" si="86"/>
        <v>6221.8239538580528</v>
      </c>
      <c r="BM99" s="39">
        <f t="shared" si="87"/>
        <v>5560.1643912940599</v>
      </c>
      <c r="BN99" s="39"/>
      <c r="BQ99" s="39"/>
      <c r="BR99" s="44"/>
    </row>
    <row r="100" spans="1:70" ht="34.5" customHeight="1">
      <c r="A100" s="36" t="s">
        <v>605</v>
      </c>
      <c r="B100" s="20" t="s">
        <v>606</v>
      </c>
      <c r="C100" s="66">
        <v>266</v>
      </c>
      <c r="D100" s="31" t="s">
        <v>620</v>
      </c>
      <c r="E100" s="41">
        <v>999.16983986836544</v>
      </c>
      <c r="F100" s="21">
        <f t="shared" si="88"/>
        <v>99.916983986836556</v>
      </c>
      <c r="G100" s="21">
        <f t="shared" si="89"/>
        <v>18.984226957498947</v>
      </c>
      <c r="H100" s="21">
        <f t="shared" si="90"/>
        <v>1118.0710508127011</v>
      </c>
      <c r="J100" s="10">
        <f t="shared" si="60"/>
        <v>34</v>
      </c>
      <c r="K100" s="167">
        <v>10</v>
      </c>
      <c r="L100" s="167">
        <v>1</v>
      </c>
      <c r="M100" s="167">
        <v>1</v>
      </c>
      <c r="N100" s="167">
        <v>1</v>
      </c>
      <c r="O100" s="167">
        <v>1</v>
      </c>
      <c r="P100" s="167">
        <v>1</v>
      </c>
      <c r="Q100" s="167">
        <v>1</v>
      </c>
      <c r="R100" s="167">
        <v>1</v>
      </c>
      <c r="S100" s="167">
        <v>1</v>
      </c>
      <c r="T100" s="167">
        <v>1</v>
      </c>
      <c r="U100" s="167">
        <v>1</v>
      </c>
      <c r="V100" s="167">
        <v>1</v>
      </c>
      <c r="W100" s="167">
        <v>1</v>
      </c>
      <c r="X100" s="167">
        <v>1</v>
      </c>
      <c r="Y100" s="167">
        <v>1</v>
      </c>
      <c r="Z100" s="167">
        <v>1</v>
      </c>
      <c r="AA100" s="167">
        <v>1</v>
      </c>
      <c r="AB100" s="167">
        <v>1</v>
      </c>
      <c r="AC100" s="167">
        <v>1</v>
      </c>
      <c r="AD100" s="167">
        <v>1</v>
      </c>
      <c r="AE100" s="167">
        <v>1</v>
      </c>
      <c r="AF100" s="167">
        <v>1</v>
      </c>
      <c r="AG100" s="167">
        <v>1</v>
      </c>
      <c r="AH100" s="167">
        <v>1</v>
      </c>
      <c r="AI100" s="167">
        <v>1</v>
      </c>
      <c r="AK100" s="22">
        <f t="shared" si="61"/>
        <v>11180.710508127011</v>
      </c>
      <c r="AL100" s="22">
        <f t="shared" si="62"/>
        <v>1118.0710508127011</v>
      </c>
      <c r="AM100" s="22">
        <f t="shared" si="63"/>
        <v>1118.0710508127011</v>
      </c>
      <c r="AN100" s="22">
        <f t="shared" si="64"/>
        <v>1118.0710508127011</v>
      </c>
      <c r="AO100" s="22">
        <f t="shared" si="65"/>
        <v>1118.0710508127011</v>
      </c>
      <c r="AP100" s="22">
        <f t="shared" si="66"/>
        <v>1118.0710508127011</v>
      </c>
      <c r="AQ100" s="22">
        <f t="shared" si="67"/>
        <v>1118.0710508127011</v>
      </c>
      <c r="AR100" s="22">
        <f t="shared" si="68"/>
        <v>1118.0710508127011</v>
      </c>
      <c r="AS100" s="22">
        <f t="shared" si="69"/>
        <v>1118.0710508127011</v>
      </c>
      <c r="AT100" s="22">
        <f t="shared" si="70"/>
        <v>1118.0710508127011</v>
      </c>
      <c r="AU100" s="22">
        <f t="shared" si="71"/>
        <v>1118.0710508127011</v>
      </c>
      <c r="AV100" s="22">
        <f t="shared" si="72"/>
        <v>1118.0710508127011</v>
      </c>
      <c r="AW100" s="22">
        <f t="shared" si="73"/>
        <v>1118.0710508127011</v>
      </c>
      <c r="AX100" s="22">
        <f t="shared" si="74"/>
        <v>1118.0710508127011</v>
      </c>
      <c r="AY100" s="22">
        <f t="shared" si="75"/>
        <v>1118.0710508127011</v>
      </c>
      <c r="AZ100" s="22">
        <f t="shared" si="76"/>
        <v>1118.0710508127011</v>
      </c>
      <c r="BA100" s="22">
        <f t="shared" si="77"/>
        <v>1118.0710508127011</v>
      </c>
      <c r="BB100" s="22">
        <f t="shared" si="78"/>
        <v>1118.0710508127011</v>
      </c>
      <c r="BC100" s="22">
        <f t="shared" si="79"/>
        <v>1118.0710508127011</v>
      </c>
      <c r="BD100" s="22">
        <f t="shared" si="80"/>
        <v>1118.0710508127011</v>
      </c>
      <c r="BE100" s="22">
        <f t="shared" si="81"/>
        <v>1118.0710508127011</v>
      </c>
      <c r="BF100" s="22">
        <f t="shared" si="82"/>
        <v>1118.0710508127011</v>
      </c>
      <c r="BG100" s="22">
        <f t="shared" si="83"/>
        <v>1118.0710508127011</v>
      </c>
      <c r="BH100" s="22">
        <f t="shared" si="84"/>
        <v>1118.0710508127011</v>
      </c>
      <c r="BI100" s="22">
        <f t="shared" si="85"/>
        <v>1118.0710508127011</v>
      </c>
      <c r="BJ100" s="37" t="s">
        <v>605</v>
      </c>
      <c r="BK100" s="20" t="s">
        <v>606</v>
      </c>
      <c r="BL100" s="43">
        <f t="shared" si="86"/>
        <v>38014.415727631836</v>
      </c>
      <c r="BM100" s="39">
        <f t="shared" si="87"/>
        <v>33971.774555524426</v>
      </c>
    </row>
    <row r="101" spans="1:70" ht="34.5" customHeight="1">
      <c r="A101" s="36" t="s">
        <v>605</v>
      </c>
      <c r="B101" s="20" t="s">
        <v>606</v>
      </c>
      <c r="C101" s="66">
        <v>272</v>
      </c>
      <c r="D101" s="31" t="s">
        <v>621</v>
      </c>
      <c r="E101" s="41">
        <v>679.6678561895277</v>
      </c>
      <c r="F101" s="21">
        <f t="shared" ref="F101:F130" si="91">+E101*10%</f>
        <v>67.96678561895277</v>
      </c>
      <c r="G101" s="21">
        <f t="shared" ref="G101:G130" si="92">+F101*19%</f>
        <v>12.913689267601026</v>
      </c>
      <c r="H101" s="21">
        <f t="shared" ref="H101:H130" si="93">+E101+F101+G101</f>
        <v>760.54833107608147</v>
      </c>
      <c r="J101" s="10">
        <f t="shared" si="60"/>
        <v>10</v>
      </c>
      <c r="K101" s="167">
        <v>10</v>
      </c>
      <c r="L101" s="167"/>
      <c r="M101" s="167"/>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7"/>
      <c r="AI101" s="167"/>
      <c r="AK101" s="22">
        <f t="shared" si="61"/>
        <v>7605.4833107608147</v>
      </c>
      <c r="AL101" s="22">
        <f t="shared" si="62"/>
        <v>0</v>
      </c>
      <c r="AM101" s="22">
        <f t="shared" si="63"/>
        <v>0</v>
      </c>
      <c r="AN101" s="22">
        <f t="shared" si="64"/>
        <v>0</v>
      </c>
      <c r="AO101" s="22">
        <f t="shared" si="65"/>
        <v>0</v>
      </c>
      <c r="AP101" s="22">
        <f t="shared" si="66"/>
        <v>0</v>
      </c>
      <c r="AQ101" s="22">
        <f t="shared" si="67"/>
        <v>0</v>
      </c>
      <c r="AR101" s="22">
        <f t="shared" si="68"/>
        <v>0</v>
      </c>
      <c r="AS101" s="22">
        <f t="shared" si="69"/>
        <v>0</v>
      </c>
      <c r="AT101" s="22">
        <f t="shared" si="70"/>
        <v>0</v>
      </c>
      <c r="AU101" s="22">
        <f t="shared" si="71"/>
        <v>0</v>
      </c>
      <c r="AV101" s="22">
        <f t="shared" si="72"/>
        <v>0</v>
      </c>
      <c r="AW101" s="22">
        <f t="shared" si="73"/>
        <v>0</v>
      </c>
      <c r="AX101" s="22">
        <f t="shared" si="74"/>
        <v>0</v>
      </c>
      <c r="AY101" s="22">
        <f t="shared" si="75"/>
        <v>0</v>
      </c>
      <c r="AZ101" s="22">
        <f t="shared" si="76"/>
        <v>0</v>
      </c>
      <c r="BA101" s="22">
        <f t="shared" si="77"/>
        <v>0</v>
      </c>
      <c r="BB101" s="22">
        <f t="shared" si="78"/>
        <v>0</v>
      </c>
      <c r="BC101" s="22">
        <f t="shared" si="79"/>
        <v>0</v>
      </c>
      <c r="BD101" s="22">
        <f t="shared" si="80"/>
        <v>0</v>
      </c>
      <c r="BE101" s="22">
        <f t="shared" si="81"/>
        <v>0</v>
      </c>
      <c r="BF101" s="22">
        <f t="shared" si="82"/>
        <v>0</v>
      </c>
      <c r="BG101" s="22">
        <f t="shared" si="83"/>
        <v>0</v>
      </c>
      <c r="BH101" s="22">
        <f t="shared" si="84"/>
        <v>0</v>
      </c>
      <c r="BI101" s="22">
        <f t="shared" si="85"/>
        <v>0</v>
      </c>
      <c r="BJ101" s="37" t="s">
        <v>605</v>
      </c>
      <c r="BK101" s="20" t="s">
        <v>606</v>
      </c>
      <c r="BL101" s="43">
        <f t="shared" si="86"/>
        <v>7605.4833107608147</v>
      </c>
      <c r="BM101" s="39">
        <f t="shared" si="87"/>
        <v>6796.6785618952772</v>
      </c>
    </row>
    <row r="102" spans="1:70" ht="34.5" customHeight="1">
      <c r="A102" s="36" t="s">
        <v>605</v>
      </c>
      <c r="B102" s="20" t="s">
        <v>606</v>
      </c>
      <c r="C102" s="66">
        <v>276</v>
      </c>
      <c r="D102" s="31" t="s">
        <v>622</v>
      </c>
      <c r="E102" s="41">
        <v>1564.3149071028811</v>
      </c>
      <c r="F102" s="21">
        <f t="shared" si="91"/>
        <v>156.43149071028813</v>
      </c>
      <c r="G102" s="21">
        <f t="shared" si="92"/>
        <v>29.721983234954745</v>
      </c>
      <c r="H102" s="21">
        <f t="shared" si="93"/>
        <v>1750.4683810481238</v>
      </c>
      <c r="J102" s="10">
        <f t="shared" si="60"/>
        <v>10</v>
      </c>
      <c r="K102" s="167">
        <v>10</v>
      </c>
      <c r="L102" s="167"/>
      <c r="M102" s="167"/>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K102" s="22">
        <f t="shared" si="61"/>
        <v>17504.683810481238</v>
      </c>
      <c r="AL102" s="22">
        <f t="shared" si="62"/>
        <v>0</v>
      </c>
      <c r="AM102" s="22">
        <f t="shared" si="63"/>
        <v>0</v>
      </c>
      <c r="AN102" s="22">
        <f t="shared" si="64"/>
        <v>0</v>
      </c>
      <c r="AO102" s="22">
        <f t="shared" si="65"/>
        <v>0</v>
      </c>
      <c r="AP102" s="22">
        <f t="shared" si="66"/>
        <v>0</v>
      </c>
      <c r="AQ102" s="22">
        <f t="shared" si="67"/>
        <v>0</v>
      </c>
      <c r="AR102" s="22">
        <f t="shared" si="68"/>
        <v>0</v>
      </c>
      <c r="AS102" s="22">
        <f t="shared" si="69"/>
        <v>0</v>
      </c>
      <c r="AT102" s="22">
        <f t="shared" si="70"/>
        <v>0</v>
      </c>
      <c r="AU102" s="22">
        <f t="shared" si="71"/>
        <v>0</v>
      </c>
      <c r="AV102" s="22">
        <f t="shared" si="72"/>
        <v>0</v>
      </c>
      <c r="AW102" s="22">
        <f t="shared" si="73"/>
        <v>0</v>
      </c>
      <c r="AX102" s="22">
        <f t="shared" si="74"/>
        <v>0</v>
      </c>
      <c r="AY102" s="22">
        <f t="shared" si="75"/>
        <v>0</v>
      </c>
      <c r="AZ102" s="22">
        <f t="shared" si="76"/>
        <v>0</v>
      </c>
      <c r="BA102" s="22">
        <f t="shared" si="77"/>
        <v>0</v>
      </c>
      <c r="BB102" s="22">
        <f t="shared" si="78"/>
        <v>0</v>
      </c>
      <c r="BC102" s="22">
        <f t="shared" si="79"/>
        <v>0</v>
      </c>
      <c r="BD102" s="22">
        <f t="shared" si="80"/>
        <v>0</v>
      </c>
      <c r="BE102" s="22">
        <f t="shared" si="81"/>
        <v>0</v>
      </c>
      <c r="BF102" s="22">
        <f t="shared" si="82"/>
        <v>0</v>
      </c>
      <c r="BG102" s="22">
        <f t="shared" si="83"/>
        <v>0</v>
      </c>
      <c r="BH102" s="22">
        <f t="shared" si="84"/>
        <v>0</v>
      </c>
      <c r="BI102" s="22">
        <f t="shared" si="85"/>
        <v>0</v>
      </c>
      <c r="BJ102" s="37" t="s">
        <v>605</v>
      </c>
      <c r="BK102" s="20" t="s">
        <v>606</v>
      </c>
      <c r="BL102" s="43">
        <f t="shared" si="86"/>
        <v>17504.683810481238</v>
      </c>
      <c r="BM102" s="39">
        <f t="shared" si="87"/>
        <v>15643.149071028811</v>
      </c>
    </row>
    <row r="103" spans="1:70" ht="34.5" customHeight="1">
      <c r="A103" s="10" t="s">
        <v>605</v>
      </c>
      <c r="B103" s="23" t="s">
        <v>606</v>
      </c>
      <c r="C103" s="66">
        <v>280</v>
      </c>
      <c r="D103" s="31" t="s">
        <v>623</v>
      </c>
      <c r="E103" s="41">
        <v>2081.3272079650005</v>
      </c>
      <c r="F103" s="21">
        <f t="shared" si="91"/>
        <v>208.13272079650005</v>
      </c>
      <c r="G103" s="21">
        <f t="shared" si="92"/>
        <v>39.545216951335007</v>
      </c>
      <c r="H103" s="21">
        <f t="shared" si="93"/>
        <v>2329.0051457128357</v>
      </c>
      <c r="J103" s="10">
        <f t="shared" si="60"/>
        <v>0</v>
      </c>
      <c r="K103" s="6"/>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K103" s="22">
        <f t="shared" si="61"/>
        <v>0</v>
      </c>
      <c r="AL103" s="22">
        <f t="shared" si="62"/>
        <v>0</v>
      </c>
      <c r="AM103" s="22">
        <f t="shared" si="63"/>
        <v>0</v>
      </c>
      <c r="AN103" s="22">
        <f t="shared" si="64"/>
        <v>0</v>
      </c>
      <c r="AO103" s="22">
        <f t="shared" si="65"/>
        <v>0</v>
      </c>
      <c r="AP103" s="22">
        <f t="shared" si="66"/>
        <v>0</v>
      </c>
      <c r="AQ103" s="22">
        <f t="shared" si="67"/>
        <v>0</v>
      </c>
      <c r="AR103" s="22">
        <f t="shared" si="68"/>
        <v>0</v>
      </c>
      <c r="AS103" s="22">
        <f t="shared" si="69"/>
        <v>0</v>
      </c>
      <c r="AT103" s="22">
        <f t="shared" si="70"/>
        <v>0</v>
      </c>
      <c r="AU103" s="22">
        <f t="shared" si="71"/>
        <v>0</v>
      </c>
      <c r="AV103" s="22">
        <f t="shared" si="72"/>
        <v>0</v>
      </c>
      <c r="AW103" s="22">
        <f t="shared" si="73"/>
        <v>0</v>
      </c>
      <c r="AX103" s="22">
        <f t="shared" si="74"/>
        <v>0</v>
      </c>
      <c r="AY103" s="22">
        <f t="shared" si="75"/>
        <v>0</v>
      </c>
      <c r="AZ103" s="22">
        <f t="shared" si="76"/>
        <v>0</v>
      </c>
      <c r="BA103" s="22">
        <f t="shared" si="77"/>
        <v>0</v>
      </c>
      <c r="BB103" s="22">
        <f t="shared" si="78"/>
        <v>0</v>
      </c>
      <c r="BC103" s="22">
        <f t="shared" si="79"/>
        <v>0</v>
      </c>
      <c r="BD103" s="22">
        <f t="shared" si="80"/>
        <v>0</v>
      </c>
      <c r="BE103" s="22">
        <f t="shared" si="81"/>
        <v>0</v>
      </c>
      <c r="BF103" s="22">
        <f t="shared" si="82"/>
        <v>0</v>
      </c>
      <c r="BG103" s="22">
        <f t="shared" si="83"/>
        <v>0</v>
      </c>
      <c r="BH103" s="22">
        <f t="shared" si="84"/>
        <v>0</v>
      </c>
      <c r="BI103" s="22">
        <f t="shared" si="85"/>
        <v>0</v>
      </c>
      <c r="BJ103" s="19" t="s">
        <v>605</v>
      </c>
      <c r="BK103" s="23" t="s">
        <v>606</v>
      </c>
      <c r="BL103" s="43">
        <f t="shared" si="86"/>
        <v>0</v>
      </c>
      <c r="BM103" s="39">
        <f t="shared" si="87"/>
        <v>0</v>
      </c>
    </row>
    <row r="104" spans="1:70" ht="34.5" customHeight="1">
      <c r="A104" s="10" t="s">
        <v>624</v>
      </c>
      <c r="B104" s="38" t="s">
        <v>625</v>
      </c>
      <c r="C104" s="66">
        <v>283</v>
      </c>
      <c r="D104" s="31" t="s">
        <v>626</v>
      </c>
      <c r="E104" s="41">
        <v>10314.831086722479</v>
      </c>
      <c r="F104" s="21">
        <f t="shared" si="91"/>
        <v>1031.4831086722479</v>
      </c>
      <c r="G104" s="21">
        <f t="shared" si="92"/>
        <v>195.98179064772711</v>
      </c>
      <c r="H104" s="21">
        <f t="shared" si="93"/>
        <v>11542.295986042454</v>
      </c>
      <c r="J104" s="10">
        <f t="shared" si="60"/>
        <v>70</v>
      </c>
      <c r="K104" s="167">
        <v>12</v>
      </c>
      <c r="L104" s="167">
        <v>5</v>
      </c>
      <c r="M104" s="167">
        <v>3</v>
      </c>
      <c r="N104" s="167">
        <v>1</v>
      </c>
      <c r="O104" s="167">
        <v>3</v>
      </c>
      <c r="P104" s="167">
        <v>3</v>
      </c>
      <c r="Q104" s="167">
        <v>3</v>
      </c>
      <c r="R104" s="167">
        <v>3</v>
      </c>
      <c r="S104" s="167">
        <v>3</v>
      </c>
      <c r="T104" s="167">
        <v>3</v>
      </c>
      <c r="U104" s="167">
        <v>2</v>
      </c>
      <c r="V104" s="167">
        <v>2</v>
      </c>
      <c r="W104" s="167">
        <v>2</v>
      </c>
      <c r="X104" s="167">
        <v>2</v>
      </c>
      <c r="Y104" s="167">
        <v>2</v>
      </c>
      <c r="Z104" s="167">
        <v>2</v>
      </c>
      <c r="AA104" s="167">
        <v>2</v>
      </c>
      <c r="AB104" s="167">
        <v>3</v>
      </c>
      <c r="AC104" s="167">
        <v>2</v>
      </c>
      <c r="AD104" s="167">
        <v>2</v>
      </c>
      <c r="AE104" s="167">
        <v>2</v>
      </c>
      <c r="AF104" s="167">
        <v>2</v>
      </c>
      <c r="AG104" s="167">
        <v>2</v>
      </c>
      <c r="AH104" s="167">
        <v>2</v>
      </c>
      <c r="AI104" s="167">
        <v>2</v>
      </c>
      <c r="AK104" s="22">
        <f t="shared" si="61"/>
        <v>138507.55183250946</v>
      </c>
      <c r="AL104" s="22">
        <f t="shared" si="62"/>
        <v>57711.47993021227</v>
      </c>
      <c r="AM104" s="22">
        <f t="shared" si="63"/>
        <v>34626.887958127365</v>
      </c>
      <c r="AN104" s="22">
        <f t="shared" si="64"/>
        <v>11542.295986042454</v>
      </c>
      <c r="AO104" s="22">
        <f t="shared" si="65"/>
        <v>34626.887958127365</v>
      </c>
      <c r="AP104" s="22">
        <f t="shared" si="66"/>
        <v>34626.887958127365</v>
      </c>
      <c r="AQ104" s="22">
        <f t="shared" si="67"/>
        <v>34626.887958127365</v>
      </c>
      <c r="AR104" s="22">
        <f t="shared" si="68"/>
        <v>34626.887958127365</v>
      </c>
      <c r="AS104" s="22">
        <f t="shared" si="69"/>
        <v>34626.887958127365</v>
      </c>
      <c r="AT104" s="22">
        <f t="shared" si="70"/>
        <v>34626.887958127365</v>
      </c>
      <c r="AU104" s="22">
        <f t="shared" si="71"/>
        <v>23084.591972084909</v>
      </c>
      <c r="AV104" s="22">
        <f t="shared" si="72"/>
        <v>23084.591972084909</v>
      </c>
      <c r="AW104" s="22">
        <f t="shared" si="73"/>
        <v>23084.591972084909</v>
      </c>
      <c r="AX104" s="22">
        <f t="shared" si="74"/>
        <v>23084.591972084909</v>
      </c>
      <c r="AY104" s="22">
        <f t="shared" si="75"/>
        <v>23084.591972084909</v>
      </c>
      <c r="AZ104" s="22">
        <f t="shared" si="76"/>
        <v>23084.591972084909</v>
      </c>
      <c r="BA104" s="22">
        <f t="shared" si="77"/>
        <v>23084.591972084909</v>
      </c>
      <c r="BB104" s="22">
        <f t="shared" si="78"/>
        <v>34626.887958127365</v>
      </c>
      <c r="BC104" s="22">
        <f t="shared" si="79"/>
        <v>23084.591972084909</v>
      </c>
      <c r="BD104" s="22">
        <f t="shared" si="80"/>
        <v>23084.591972084909</v>
      </c>
      <c r="BE104" s="22">
        <f t="shared" si="81"/>
        <v>23084.591972084909</v>
      </c>
      <c r="BF104" s="22">
        <f t="shared" si="82"/>
        <v>23084.591972084909</v>
      </c>
      <c r="BG104" s="22">
        <f t="shared" si="83"/>
        <v>23084.591972084909</v>
      </c>
      <c r="BH104" s="22">
        <f t="shared" si="84"/>
        <v>23084.591972084909</v>
      </c>
      <c r="BI104" s="22">
        <f t="shared" si="85"/>
        <v>23084.591972084909</v>
      </c>
      <c r="BJ104" s="19" t="s">
        <v>624</v>
      </c>
      <c r="BK104" s="38" t="s">
        <v>625</v>
      </c>
      <c r="BL104" s="43">
        <f t="shared" si="86"/>
        <v>807960.71902297181</v>
      </c>
      <c r="BM104" s="39">
        <f t="shared" si="87"/>
        <v>722038.17607057351</v>
      </c>
    </row>
    <row r="105" spans="1:70" ht="34.5" customHeight="1">
      <c r="A105" s="10" t="s">
        <v>624</v>
      </c>
      <c r="B105" s="38" t="s">
        <v>625</v>
      </c>
      <c r="C105" s="66">
        <v>287</v>
      </c>
      <c r="D105" s="31" t="s">
        <v>627</v>
      </c>
      <c r="E105" s="41">
        <v>20130.18098792106</v>
      </c>
      <c r="F105" s="21">
        <f t="shared" si="91"/>
        <v>2013.018098792106</v>
      </c>
      <c r="G105" s="21">
        <f t="shared" si="92"/>
        <v>382.47343877050014</v>
      </c>
      <c r="H105" s="21">
        <f t="shared" si="93"/>
        <v>22525.672525483664</v>
      </c>
      <c r="J105" s="10">
        <f t="shared" si="60"/>
        <v>43</v>
      </c>
      <c r="K105" s="167">
        <v>7</v>
      </c>
      <c r="L105" s="167">
        <v>4</v>
      </c>
      <c r="M105" s="167">
        <v>1</v>
      </c>
      <c r="N105" s="167">
        <v>2</v>
      </c>
      <c r="O105" s="167">
        <v>2</v>
      </c>
      <c r="P105" s="167">
        <v>2</v>
      </c>
      <c r="Q105" s="167">
        <v>2</v>
      </c>
      <c r="R105" s="167">
        <v>2</v>
      </c>
      <c r="S105" s="167">
        <v>2</v>
      </c>
      <c r="T105" s="167">
        <v>2</v>
      </c>
      <c r="U105" s="167">
        <v>2</v>
      </c>
      <c r="V105" s="167">
        <v>1</v>
      </c>
      <c r="W105" s="167">
        <v>1</v>
      </c>
      <c r="X105" s="167">
        <v>1</v>
      </c>
      <c r="Y105" s="167">
        <v>1</v>
      </c>
      <c r="Z105" s="167">
        <v>1</v>
      </c>
      <c r="AA105" s="167">
        <v>1</v>
      </c>
      <c r="AB105" s="167">
        <v>2</v>
      </c>
      <c r="AC105" s="167">
        <v>1</v>
      </c>
      <c r="AD105" s="167">
        <v>1</v>
      </c>
      <c r="AE105" s="167">
        <v>1</v>
      </c>
      <c r="AF105" s="167">
        <v>1</v>
      </c>
      <c r="AG105" s="167">
        <v>1</v>
      </c>
      <c r="AH105" s="167">
        <v>1</v>
      </c>
      <c r="AI105" s="167">
        <v>1</v>
      </c>
      <c r="AK105" s="22">
        <f t="shared" si="61"/>
        <v>157679.70767838566</v>
      </c>
      <c r="AL105" s="22">
        <f t="shared" si="62"/>
        <v>90102.690101934655</v>
      </c>
      <c r="AM105" s="22">
        <f t="shared" si="63"/>
        <v>22525.672525483664</v>
      </c>
      <c r="AN105" s="22">
        <f t="shared" si="64"/>
        <v>45051.345050967328</v>
      </c>
      <c r="AO105" s="22">
        <f t="shared" si="65"/>
        <v>45051.345050967328</v>
      </c>
      <c r="AP105" s="22">
        <f t="shared" si="66"/>
        <v>45051.345050967328</v>
      </c>
      <c r="AQ105" s="22">
        <f t="shared" si="67"/>
        <v>45051.345050967328</v>
      </c>
      <c r="AR105" s="22">
        <f t="shared" si="68"/>
        <v>45051.345050967328</v>
      </c>
      <c r="AS105" s="22">
        <f t="shared" si="69"/>
        <v>45051.345050967328</v>
      </c>
      <c r="AT105" s="22">
        <f t="shared" si="70"/>
        <v>45051.345050967328</v>
      </c>
      <c r="AU105" s="22">
        <f t="shared" si="71"/>
        <v>45051.345050967328</v>
      </c>
      <c r="AV105" s="22">
        <f t="shared" si="72"/>
        <v>22525.672525483664</v>
      </c>
      <c r="AW105" s="22">
        <f t="shared" si="73"/>
        <v>22525.672525483664</v>
      </c>
      <c r="AX105" s="22">
        <f t="shared" si="74"/>
        <v>22525.672525483664</v>
      </c>
      <c r="AY105" s="22">
        <f t="shared" si="75"/>
        <v>22525.672525483664</v>
      </c>
      <c r="AZ105" s="22">
        <f t="shared" si="76"/>
        <v>22525.672525483664</v>
      </c>
      <c r="BA105" s="22">
        <f t="shared" si="77"/>
        <v>22525.672525483664</v>
      </c>
      <c r="BB105" s="22">
        <f t="shared" si="78"/>
        <v>45051.345050967328</v>
      </c>
      <c r="BC105" s="22">
        <f t="shared" si="79"/>
        <v>22525.672525483664</v>
      </c>
      <c r="BD105" s="22">
        <f t="shared" si="80"/>
        <v>22525.672525483664</v>
      </c>
      <c r="BE105" s="22">
        <f t="shared" si="81"/>
        <v>22525.672525483664</v>
      </c>
      <c r="BF105" s="22">
        <f t="shared" si="82"/>
        <v>22525.672525483664</v>
      </c>
      <c r="BG105" s="22">
        <f t="shared" si="83"/>
        <v>22525.672525483664</v>
      </c>
      <c r="BH105" s="22">
        <f t="shared" si="84"/>
        <v>22525.672525483664</v>
      </c>
      <c r="BI105" s="22">
        <f t="shared" si="85"/>
        <v>22525.672525483664</v>
      </c>
      <c r="BJ105" s="19" t="s">
        <v>624</v>
      </c>
      <c r="BK105" s="38" t="s">
        <v>625</v>
      </c>
      <c r="BL105" s="43">
        <f t="shared" si="86"/>
        <v>968603.9185957975</v>
      </c>
      <c r="BM105" s="39">
        <f t="shared" si="87"/>
        <v>865597.78248060553</v>
      </c>
    </row>
    <row r="106" spans="1:70" ht="34.5" customHeight="1">
      <c r="A106" s="10" t="s">
        <v>624</v>
      </c>
      <c r="B106" s="38" t="s">
        <v>625</v>
      </c>
      <c r="C106" s="66">
        <v>291</v>
      </c>
      <c r="D106" s="31" t="s">
        <v>628</v>
      </c>
      <c r="E106" s="41">
        <v>4520.226928183557</v>
      </c>
      <c r="F106" s="21">
        <f t="shared" si="91"/>
        <v>452.02269281835572</v>
      </c>
      <c r="G106" s="21">
        <f t="shared" si="92"/>
        <v>85.884311635487592</v>
      </c>
      <c r="H106" s="21">
        <f t="shared" si="93"/>
        <v>5058.1339326374</v>
      </c>
      <c r="J106" s="10">
        <f t="shared" si="60"/>
        <v>37</v>
      </c>
      <c r="K106" s="167">
        <v>12</v>
      </c>
      <c r="L106" s="167">
        <v>2</v>
      </c>
      <c r="M106" s="167">
        <v>1</v>
      </c>
      <c r="N106" s="167">
        <v>1</v>
      </c>
      <c r="O106" s="167">
        <v>1</v>
      </c>
      <c r="P106" s="167">
        <v>1</v>
      </c>
      <c r="Q106" s="167">
        <v>1</v>
      </c>
      <c r="R106" s="167">
        <v>1</v>
      </c>
      <c r="S106" s="167">
        <v>1</v>
      </c>
      <c r="T106" s="167">
        <v>1</v>
      </c>
      <c r="U106" s="167">
        <v>1</v>
      </c>
      <c r="V106" s="167">
        <v>1</v>
      </c>
      <c r="W106" s="167">
        <v>1</v>
      </c>
      <c r="X106" s="167">
        <v>1</v>
      </c>
      <c r="Y106" s="167">
        <v>1</v>
      </c>
      <c r="Z106" s="167">
        <v>1</v>
      </c>
      <c r="AA106" s="167">
        <v>1</v>
      </c>
      <c r="AB106" s="167">
        <v>1</v>
      </c>
      <c r="AC106" s="167">
        <v>1</v>
      </c>
      <c r="AD106" s="167">
        <v>1</v>
      </c>
      <c r="AE106" s="167">
        <v>1</v>
      </c>
      <c r="AF106" s="167">
        <v>1</v>
      </c>
      <c r="AG106" s="167">
        <v>1</v>
      </c>
      <c r="AH106" s="167">
        <v>1</v>
      </c>
      <c r="AI106" s="167">
        <v>1</v>
      </c>
      <c r="AK106" s="22">
        <f t="shared" si="61"/>
        <v>60697.6071916488</v>
      </c>
      <c r="AL106" s="22">
        <f t="shared" si="62"/>
        <v>10116.2678652748</v>
      </c>
      <c r="AM106" s="22">
        <f t="shared" si="63"/>
        <v>5058.1339326374</v>
      </c>
      <c r="AN106" s="22">
        <f t="shared" si="64"/>
        <v>5058.1339326374</v>
      </c>
      <c r="AO106" s="22">
        <f t="shared" si="65"/>
        <v>5058.1339326374</v>
      </c>
      <c r="AP106" s="22">
        <f t="shared" si="66"/>
        <v>5058.1339326374</v>
      </c>
      <c r="AQ106" s="22">
        <f t="shared" si="67"/>
        <v>5058.1339326374</v>
      </c>
      <c r="AR106" s="22">
        <f t="shared" si="68"/>
        <v>5058.1339326374</v>
      </c>
      <c r="AS106" s="22">
        <f t="shared" si="69"/>
        <v>5058.1339326374</v>
      </c>
      <c r="AT106" s="22">
        <f t="shared" si="70"/>
        <v>5058.1339326374</v>
      </c>
      <c r="AU106" s="22">
        <f t="shared" si="71"/>
        <v>5058.1339326374</v>
      </c>
      <c r="AV106" s="22">
        <f t="shared" si="72"/>
        <v>5058.1339326374</v>
      </c>
      <c r="AW106" s="22">
        <f t="shared" si="73"/>
        <v>5058.1339326374</v>
      </c>
      <c r="AX106" s="22">
        <f t="shared" si="74"/>
        <v>5058.1339326374</v>
      </c>
      <c r="AY106" s="22">
        <f t="shared" si="75"/>
        <v>5058.1339326374</v>
      </c>
      <c r="AZ106" s="22">
        <f t="shared" si="76"/>
        <v>5058.1339326374</v>
      </c>
      <c r="BA106" s="22">
        <f t="shared" si="77"/>
        <v>5058.1339326374</v>
      </c>
      <c r="BB106" s="22">
        <f t="shared" si="78"/>
        <v>5058.1339326374</v>
      </c>
      <c r="BC106" s="22">
        <f t="shared" si="79"/>
        <v>5058.1339326374</v>
      </c>
      <c r="BD106" s="22">
        <f t="shared" si="80"/>
        <v>5058.1339326374</v>
      </c>
      <c r="BE106" s="22">
        <f t="shared" si="81"/>
        <v>5058.1339326374</v>
      </c>
      <c r="BF106" s="22">
        <f t="shared" si="82"/>
        <v>5058.1339326374</v>
      </c>
      <c r="BG106" s="22">
        <f t="shared" si="83"/>
        <v>5058.1339326374</v>
      </c>
      <c r="BH106" s="22">
        <f t="shared" si="84"/>
        <v>5058.1339326374</v>
      </c>
      <c r="BI106" s="22">
        <f t="shared" si="85"/>
        <v>5058.1339326374</v>
      </c>
      <c r="BJ106" s="19" t="s">
        <v>624</v>
      </c>
      <c r="BK106" s="38" t="s">
        <v>625</v>
      </c>
      <c r="BL106" s="43">
        <f t="shared" si="86"/>
        <v>187150.9555075838</v>
      </c>
      <c r="BM106" s="39">
        <f t="shared" si="87"/>
        <v>167248.39634279162</v>
      </c>
    </row>
    <row r="107" spans="1:70" ht="34.5" customHeight="1">
      <c r="A107" s="10" t="s">
        <v>624</v>
      </c>
      <c r="B107" s="38" t="s">
        <v>625</v>
      </c>
      <c r="C107" s="66">
        <v>297</v>
      </c>
      <c r="D107" s="31" t="s">
        <v>629</v>
      </c>
      <c r="E107" s="41">
        <v>7473.0269169556732</v>
      </c>
      <c r="F107" s="21">
        <f t="shared" si="91"/>
        <v>747.30269169556732</v>
      </c>
      <c r="G107" s="21">
        <f t="shared" si="92"/>
        <v>141.98751142215778</v>
      </c>
      <c r="H107" s="21">
        <f t="shared" si="93"/>
        <v>8362.3171200733977</v>
      </c>
      <c r="J107" s="10">
        <f t="shared" si="60"/>
        <v>8</v>
      </c>
      <c r="K107" s="167">
        <v>3</v>
      </c>
      <c r="L107" s="167">
        <v>2</v>
      </c>
      <c r="M107" s="167">
        <v>1</v>
      </c>
      <c r="N107" s="167"/>
      <c r="O107" s="167"/>
      <c r="P107" s="167"/>
      <c r="Q107" s="167"/>
      <c r="R107" s="167"/>
      <c r="S107" s="167"/>
      <c r="T107" s="167"/>
      <c r="U107" s="167"/>
      <c r="V107" s="167"/>
      <c r="W107" s="167"/>
      <c r="X107" s="167"/>
      <c r="Y107" s="167"/>
      <c r="Z107" s="167"/>
      <c r="AA107" s="167"/>
      <c r="AB107" s="167">
        <v>1</v>
      </c>
      <c r="AC107" s="167"/>
      <c r="AD107" s="167">
        <v>1</v>
      </c>
      <c r="AE107" s="167"/>
      <c r="AF107" s="167"/>
      <c r="AG107" s="167"/>
      <c r="AH107" s="167"/>
      <c r="AI107" s="167"/>
      <c r="AK107" s="22">
        <f t="shared" si="61"/>
        <v>25086.951360220191</v>
      </c>
      <c r="AL107" s="22">
        <f t="shared" si="62"/>
        <v>16724.634240146795</v>
      </c>
      <c r="AM107" s="22">
        <f t="shared" si="63"/>
        <v>8362.3171200733977</v>
      </c>
      <c r="AN107" s="22">
        <f t="shared" si="64"/>
        <v>0</v>
      </c>
      <c r="AO107" s="22">
        <f t="shared" si="65"/>
        <v>0</v>
      </c>
      <c r="AP107" s="22">
        <f t="shared" si="66"/>
        <v>0</v>
      </c>
      <c r="AQ107" s="22">
        <f t="shared" si="67"/>
        <v>0</v>
      </c>
      <c r="AR107" s="22">
        <f t="shared" si="68"/>
        <v>0</v>
      </c>
      <c r="AS107" s="22">
        <f t="shared" si="69"/>
        <v>0</v>
      </c>
      <c r="AT107" s="22">
        <f t="shared" si="70"/>
        <v>0</v>
      </c>
      <c r="AU107" s="22">
        <f t="shared" si="71"/>
        <v>0</v>
      </c>
      <c r="AV107" s="22">
        <f t="shared" si="72"/>
        <v>0</v>
      </c>
      <c r="AW107" s="22">
        <f t="shared" si="73"/>
        <v>0</v>
      </c>
      <c r="AX107" s="22">
        <f t="shared" si="74"/>
        <v>0</v>
      </c>
      <c r="AY107" s="22">
        <f t="shared" si="75"/>
        <v>0</v>
      </c>
      <c r="AZ107" s="22">
        <f t="shared" si="76"/>
        <v>0</v>
      </c>
      <c r="BA107" s="22">
        <f t="shared" si="77"/>
        <v>0</v>
      </c>
      <c r="BB107" s="22">
        <f t="shared" si="78"/>
        <v>8362.3171200733977</v>
      </c>
      <c r="BC107" s="22">
        <f t="shared" si="79"/>
        <v>0</v>
      </c>
      <c r="BD107" s="22">
        <f t="shared" si="80"/>
        <v>8362.3171200733977</v>
      </c>
      <c r="BE107" s="22">
        <f t="shared" si="81"/>
        <v>0</v>
      </c>
      <c r="BF107" s="22">
        <f t="shared" si="82"/>
        <v>0</v>
      </c>
      <c r="BG107" s="22">
        <f t="shared" si="83"/>
        <v>0</v>
      </c>
      <c r="BH107" s="22">
        <f t="shared" si="84"/>
        <v>0</v>
      </c>
      <c r="BI107" s="22">
        <f t="shared" si="85"/>
        <v>0</v>
      </c>
      <c r="BJ107" s="19" t="s">
        <v>624</v>
      </c>
      <c r="BK107" s="38" t="s">
        <v>625</v>
      </c>
      <c r="BL107" s="43">
        <f t="shared" si="86"/>
        <v>66898.536960587182</v>
      </c>
      <c r="BM107" s="39">
        <f t="shared" si="87"/>
        <v>59784.215335645385</v>
      </c>
    </row>
    <row r="108" spans="1:70" ht="34.5" customHeight="1">
      <c r="A108" s="10" t="s">
        <v>624</v>
      </c>
      <c r="B108" s="38" t="s">
        <v>625</v>
      </c>
      <c r="C108" s="66">
        <v>301</v>
      </c>
      <c r="D108" s="31" t="s">
        <v>630</v>
      </c>
      <c r="E108" s="41">
        <v>2974.2730117011806</v>
      </c>
      <c r="F108" s="21">
        <f t="shared" si="91"/>
        <v>297.42730117011808</v>
      </c>
      <c r="G108" s="21">
        <f t="shared" si="92"/>
        <v>56.511187222322434</v>
      </c>
      <c r="H108" s="21">
        <f t="shared" si="93"/>
        <v>3328.211500093621</v>
      </c>
      <c r="J108" s="10">
        <f t="shared" si="60"/>
        <v>2</v>
      </c>
      <c r="K108" s="167">
        <v>2</v>
      </c>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K108" s="22">
        <f t="shared" si="61"/>
        <v>6656.423000187242</v>
      </c>
      <c r="AL108" s="22">
        <f t="shared" si="62"/>
        <v>0</v>
      </c>
      <c r="AM108" s="22">
        <f t="shared" si="63"/>
        <v>0</v>
      </c>
      <c r="AN108" s="22">
        <f t="shared" si="64"/>
        <v>0</v>
      </c>
      <c r="AO108" s="22">
        <f t="shared" si="65"/>
        <v>0</v>
      </c>
      <c r="AP108" s="22">
        <f t="shared" si="66"/>
        <v>0</v>
      </c>
      <c r="AQ108" s="22">
        <f t="shared" si="67"/>
        <v>0</v>
      </c>
      <c r="AR108" s="22">
        <f t="shared" si="68"/>
        <v>0</v>
      </c>
      <c r="AS108" s="22">
        <f t="shared" si="69"/>
        <v>0</v>
      </c>
      <c r="AT108" s="22">
        <f t="shared" si="70"/>
        <v>0</v>
      </c>
      <c r="AU108" s="22">
        <f t="shared" si="71"/>
        <v>0</v>
      </c>
      <c r="AV108" s="22">
        <f t="shared" si="72"/>
        <v>0</v>
      </c>
      <c r="AW108" s="22">
        <f t="shared" si="73"/>
        <v>0</v>
      </c>
      <c r="AX108" s="22">
        <f t="shared" si="74"/>
        <v>0</v>
      </c>
      <c r="AY108" s="22">
        <f t="shared" si="75"/>
        <v>0</v>
      </c>
      <c r="AZ108" s="22">
        <f t="shared" si="76"/>
        <v>0</v>
      </c>
      <c r="BA108" s="22">
        <f t="shared" si="77"/>
        <v>0</v>
      </c>
      <c r="BB108" s="22">
        <f t="shared" si="78"/>
        <v>0</v>
      </c>
      <c r="BC108" s="22">
        <f t="shared" si="79"/>
        <v>0</v>
      </c>
      <c r="BD108" s="22">
        <f t="shared" si="80"/>
        <v>0</v>
      </c>
      <c r="BE108" s="22">
        <f t="shared" si="81"/>
        <v>0</v>
      </c>
      <c r="BF108" s="22">
        <f t="shared" si="82"/>
        <v>0</v>
      </c>
      <c r="BG108" s="22">
        <f t="shared" si="83"/>
        <v>0</v>
      </c>
      <c r="BH108" s="22">
        <f t="shared" si="84"/>
        <v>0</v>
      </c>
      <c r="BI108" s="22">
        <f t="shared" si="85"/>
        <v>0</v>
      </c>
      <c r="BJ108" s="19" t="s">
        <v>624</v>
      </c>
      <c r="BK108" s="38" t="s">
        <v>625</v>
      </c>
      <c r="BL108" s="43">
        <f t="shared" si="86"/>
        <v>6656.423000187242</v>
      </c>
      <c r="BM108" s="39">
        <f t="shared" si="87"/>
        <v>5948.5460234023612</v>
      </c>
    </row>
    <row r="109" spans="1:70" ht="34.5" customHeight="1">
      <c r="A109" s="10" t="s">
        <v>624</v>
      </c>
      <c r="B109" s="38" t="s">
        <v>625</v>
      </c>
      <c r="C109" s="66">
        <v>303</v>
      </c>
      <c r="D109" s="31" t="s">
        <v>631</v>
      </c>
      <c r="E109" s="41">
        <v>8334.437459965111</v>
      </c>
      <c r="F109" s="21">
        <f t="shared" si="91"/>
        <v>833.4437459965111</v>
      </c>
      <c r="G109" s="21">
        <f t="shared" si="92"/>
        <v>158.35431173933711</v>
      </c>
      <c r="H109" s="21">
        <f t="shared" si="93"/>
        <v>9326.2355177009576</v>
      </c>
      <c r="J109" s="10">
        <f t="shared" si="60"/>
        <v>1</v>
      </c>
      <c r="K109" s="167">
        <v>1</v>
      </c>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K109" s="22">
        <f t="shared" si="61"/>
        <v>9326.2355177009576</v>
      </c>
      <c r="AL109" s="22">
        <f t="shared" si="62"/>
        <v>0</v>
      </c>
      <c r="AM109" s="22">
        <f t="shared" si="63"/>
        <v>0</v>
      </c>
      <c r="AN109" s="22">
        <f t="shared" si="64"/>
        <v>0</v>
      </c>
      <c r="AO109" s="22">
        <f t="shared" si="65"/>
        <v>0</v>
      </c>
      <c r="AP109" s="22">
        <f t="shared" si="66"/>
        <v>0</v>
      </c>
      <c r="AQ109" s="22">
        <f t="shared" si="67"/>
        <v>0</v>
      </c>
      <c r="AR109" s="22">
        <f t="shared" si="68"/>
        <v>0</v>
      </c>
      <c r="AS109" s="22">
        <f t="shared" si="69"/>
        <v>0</v>
      </c>
      <c r="AT109" s="22">
        <f t="shared" si="70"/>
        <v>0</v>
      </c>
      <c r="AU109" s="22">
        <f t="shared" si="71"/>
        <v>0</v>
      </c>
      <c r="AV109" s="22">
        <f t="shared" si="72"/>
        <v>0</v>
      </c>
      <c r="AW109" s="22">
        <f t="shared" si="73"/>
        <v>0</v>
      </c>
      <c r="AX109" s="22">
        <f t="shared" si="74"/>
        <v>0</v>
      </c>
      <c r="AY109" s="22">
        <f t="shared" si="75"/>
        <v>0</v>
      </c>
      <c r="AZ109" s="22">
        <f t="shared" si="76"/>
        <v>0</v>
      </c>
      <c r="BA109" s="22">
        <f t="shared" si="77"/>
        <v>0</v>
      </c>
      <c r="BB109" s="22">
        <f t="shared" si="78"/>
        <v>0</v>
      </c>
      <c r="BC109" s="22">
        <f t="shared" si="79"/>
        <v>0</v>
      </c>
      <c r="BD109" s="22">
        <f t="shared" si="80"/>
        <v>0</v>
      </c>
      <c r="BE109" s="22">
        <f t="shared" si="81"/>
        <v>0</v>
      </c>
      <c r="BF109" s="22">
        <f t="shared" si="82"/>
        <v>0</v>
      </c>
      <c r="BG109" s="22">
        <f t="shared" si="83"/>
        <v>0</v>
      </c>
      <c r="BH109" s="22">
        <f t="shared" si="84"/>
        <v>0</v>
      </c>
      <c r="BI109" s="22">
        <f t="shared" si="85"/>
        <v>0</v>
      </c>
      <c r="BJ109" s="19" t="s">
        <v>624</v>
      </c>
      <c r="BK109" s="38" t="s">
        <v>625</v>
      </c>
      <c r="BL109" s="43">
        <f t="shared" si="86"/>
        <v>9326.2355177009576</v>
      </c>
      <c r="BM109" s="39">
        <f t="shared" si="87"/>
        <v>8334.437459965111</v>
      </c>
    </row>
    <row r="110" spans="1:70" ht="34.5" customHeight="1">
      <c r="A110" s="36" t="s">
        <v>605</v>
      </c>
      <c r="B110" s="20" t="s">
        <v>606</v>
      </c>
      <c r="C110" s="66">
        <v>338</v>
      </c>
      <c r="D110" s="31" t="s">
        <v>632</v>
      </c>
      <c r="E110" s="41">
        <v>15480.5</v>
      </c>
      <c r="F110" s="21">
        <f t="shared" si="91"/>
        <v>1548.0500000000002</v>
      </c>
      <c r="G110" s="21">
        <f t="shared" si="92"/>
        <v>294.12950000000006</v>
      </c>
      <c r="H110" s="21">
        <f t="shared" si="93"/>
        <v>17322.679499999998</v>
      </c>
      <c r="J110" s="10">
        <f t="shared" si="60"/>
        <v>0</v>
      </c>
      <c r="K110" s="6"/>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K110" s="22">
        <f t="shared" si="61"/>
        <v>0</v>
      </c>
      <c r="AL110" s="22">
        <f t="shared" si="62"/>
        <v>0</v>
      </c>
      <c r="AM110" s="22">
        <f t="shared" si="63"/>
        <v>0</v>
      </c>
      <c r="AN110" s="22">
        <f t="shared" si="64"/>
        <v>0</v>
      </c>
      <c r="AO110" s="22">
        <f t="shared" si="65"/>
        <v>0</v>
      </c>
      <c r="AP110" s="22">
        <f t="shared" si="66"/>
        <v>0</v>
      </c>
      <c r="AQ110" s="22">
        <f t="shared" si="67"/>
        <v>0</v>
      </c>
      <c r="AR110" s="22">
        <f t="shared" si="68"/>
        <v>0</v>
      </c>
      <c r="AS110" s="22">
        <f t="shared" si="69"/>
        <v>0</v>
      </c>
      <c r="AT110" s="22">
        <f t="shared" si="70"/>
        <v>0</v>
      </c>
      <c r="AU110" s="22">
        <f t="shared" si="71"/>
        <v>0</v>
      </c>
      <c r="AV110" s="22">
        <f t="shared" si="72"/>
        <v>0</v>
      </c>
      <c r="AW110" s="22">
        <f t="shared" si="73"/>
        <v>0</v>
      </c>
      <c r="AX110" s="22">
        <f t="shared" si="74"/>
        <v>0</v>
      </c>
      <c r="AY110" s="22">
        <f t="shared" si="75"/>
        <v>0</v>
      </c>
      <c r="AZ110" s="22">
        <f t="shared" si="76"/>
        <v>0</v>
      </c>
      <c r="BA110" s="22">
        <f t="shared" si="77"/>
        <v>0</v>
      </c>
      <c r="BB110" s="22">
        <f t="shared" si="78"/>
        <v>0</v>
      </c>
      <c r="BC110" s="22">
        <f t="shared" si="79"/>
        <v>0</v>
      </c>
      <c r="BD110" s="22">
        <f t="shared" si="80"/>
        <v>0</v>
      </c>
      <c r="BE110" s="22">
        <f t="shared" si="81"/>
        <v>0</v>
      </c>
      <c r="BF110" s="22">
        <f t="shared" si="82"/>
        <v>0</v>
      </c>
      <c r="BG110" s="22">
        <f t="shared" si="83"/>
        <v>0</v>
      </c>
      <c r="BH110" s="22">
        <f t="shared" si="84"/>
        <v>0</v>
      </c>
      <c r="BI110" s="22">
        <f t="shared" si="85"/>
        <v>0</v>
      </c>
      <c r="BJ110" s="37" t="s">
        <v>605</v>
      </c>
      <c r="BK110" s="20" t="s">
        <v>606</v>
      </c>
      <c r="BL110" s="43">
        <f t="shared" si="86"/>
        <v>0</v>
      </c>
      <c r="BM110" s="39">
        <f t="shared" si="87"/>
        <v>0</v>
      </c>
    </row>
    <row r="111" spans="1:70" ht="34.5" customHeight="1">
      <c r="A111" s="36" t="s">
        <v>605</v>
      </c>
      <c r="B111" s="20" t="s">
        <v>606</v>
      </c>
      <c r="C111" s="66">
        <v>339</v>
      </c>
      <c r="D111" s="31" t="s">
        <v>633</v>
      </c>
      <c r="E111" s="41">
        <v>14638.17</v>
      </c>
      <c r="F111" s="21">
        <f t="shared" si="91"/>
        <v>1463.817</v>
      </c>
      <c r="G111" s="21">
        <f t="shared" si="92"/>
        <v>278.12522999999999</v>
      </c>
      <c r="H111" s="21">
        <f t="shared" si="93"/>
        <v>16380.112230000001</v>
      </c>
      <c r="J111" s="10">
        <f t="shared" si="60"/>
        <v>0</v>
      </c>
      <c r="K111" s="6"/>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K111" s="22">
        <f t="shared" si="61"/>
        <v>0</v>
      </c>
      <c r="AL111" s="22">
        <f t="shared" si="62"/>
        <v>0</v>
      </c>
      <c r="AM111" s="22">
        <f t="shared" si="63"/>
        <v>0</v>
      </c>
      <c r="AN111" s="22">
        <f t="shared" si="64"/>
        <v>0</v>
      </c>
      <c r="AO111" s="22">
        <f t="shared" si="65"/>
        <v>0</v>
      </c>
      <c r="AP111" s="22">
        <f t="shared" si="66"/>
        <v>0</v>
      </c>
      <c r="AQ111" s="22">
        <f t="shared" si="67"/>
        <v>0</v>
      </c>
      <c r="AR111" s="22">
        <f t="shared" si="68"/>
        <v>0</v>
      </c>
      <c r="AS111" s="22">
        <f t="shared" si="69"/>
        <v>0</v>
      </c>
      <c r="AT111" s="22">
        <f t="shared" si="70"/>
        <v>0</v>
      </c>
      <c r="AU111" s="22">
        <f t="shared" si="71"/>
        <v>0</v>
      </c>
      <c r="AV111" s="22">
        <f t="shared" si="72"/>
        <v>0</v>
      </c>
      <c r="AW111" s="22">
        <f t="shared" si="73"/>
        <v>0</v>
      </c>
      <c r="AX111" s="22">
        <f t="shared" si="74"/>
        <v>0</v>
      </c>
      <c r="AY111" s="22">
        <f t="shared" si="75"/>
        <v>0</v>
      </c>
      <c r="AZ111" s="22">
        <f t="shared" si="76"/>
        <v>0</v>
      </c>
      <c r="BA111" s="22">
        <f t="shared" si="77"/>
        <v>0</v>
      </c>
      <c r="BB111" s="22">
        <f t="shared" si="78"/>
        <v>0</v>
      </c>
      <c r="BC111" s="22">
        <f t="shared" si="79"/>
        <v>0</v>
      </c>
      <c r="BD111" s="22">
        <f t="shared" si="80"/>
        <v>0</v>
      </c>
      <c r="BE111" s="22">
        <f t="shared" si="81"/>
        <v>0</v>
      </c>
      <c r="BF111" s="22">
        <f t="shared" si="82"/>
        <v>0</v>
      </c>
      <c r="BG111" s="22">
        <f t="shared" si="83"/>
        <v>0</v>
      </c>
      <c r="BH111" s="22">
        <f t="shared" si="84"/>
        <v>0</v>
      </c>
      <c r="BI111" s="22">
        <f t="shared" si="85"/>
        <v>0</v>
      </c>
      <c r="BJ111" s="37" t="s">
        <v>605</v>
      </c>
      <c r="BK111" s="20" t="s">
        <v>606</v>
      </c>
      <c r="BL111" s="43">
        <f t="shared" si="86"/>
        <v>0</v>
      </c>
      <c r="BM111" s="39">
        <f t="shared" si="87"/>
        <v>0</v>
      </c>
    </row>
    <row r="112" spans="1:70" ht="34.5" customHeight="1">
      <c r="A112" s="36" t="s">
        <v>605</v>
      </c>
      <c r="B112" s="20" t="s">
        <v>606</v>
      </c>
      <c r="C112" s="66">
        <v>340</v>
      </c>
      <c r="D112" s="31" t="s">
        <v>634</v>
      </c>
      <c r="E112" s="41">
        <v>30112.03</v>
      </c>
      <c r="F112" s="21">
        <f t="shared" si="91"/>
        <v>3011.203</v>
      </c>
      <c r="G112" s="21">
        <f t="shared" si="92"/>
        <v>572.12856999999997</v>
      </c>
      <c r="H112" s="21">
        <f t="shared" si="93"/>
        <v>33695.361570000001</v>
      </c>
      <c r="J112" s="10">
        <f t="shared" si="60"/>
        <v>0</v>
      </c>
      <c r="K112" s="6"/>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K112" s="22">
        <f t="shared" si="61"/>
        <v>0</v>
      </c>
      <c r="AL112" s="22">
        <f t="shared" si="62"/>
        <v>0</v>
      </c>
      <c r="AM112" s="22">
        <f t="shared" si="63"/>
        <v>0</v>
      </c>
      <c r="AN112" s="22">
        <f t="shared" si="64"/>
        <v>0</v>
      </c>
      <c r="AO112" s="22">
        <f t="shared" si="65"/>
        <v>0</v>
      </c>
      <c r="AP112" s="22">
        <f t="shared" si="66"/>
        <v>0</v>
      </c>
      <c r="AQ112" s="22">
        <f t="shared" si="67"/>
        <v>0</v>
      </c>
      <c r="AR112" s="22">
        <f t="shared" si="68"/>
        <v>0</v>
      </c>
      <c r="AS112" s="22">
        <f t="shared" si="69"/>
        <v>0</v>
      </c>
      <c r="AT112" s="22">
        <f t="shared" si="70"/>
        <v>0</v>
      </c>
      <c r="AU112" s="22">
        <f t="shared" si="71"/>
        <v>0</v>
      </c>
      <c r="AV112" s="22">
        <f t="shared" si="72"/>
        <v>0</v>
      </c>
      <c r="AW112" s="22">
        <f t="shared" si="73"/>
        <v>0</v>
      </c>
      <c r="AX112" s="22">
        <f t="shared" si="74"/>
        <v>0</v>
      </c>
      <c r="AY112" s="22">
        <f t="shared" si="75"/>
        <v>0</v>
      </c>
      <c r="AZ112" s="22">
        <f t="shared" si="76"/>
        <v>0</v>
      </c>
      <c r="BA112" s="22">
        <f t="shared" si="77"/>
        <v>0</v>
      </c>
      <c r="BB112" s="22">
        <f t="shared" si="78"/>
        <v>0</v>
      </c>
      <c r="BC112" s="22">
        <f t="shared" si="79"/>
        <v>0</v>
      </c>
      <c r="BD112" s="22">
        <f t="shared" si="80"/>
        <v>0</v>
      </c>
      <c r="BE112" s="22">
        <f t="shared" si="81"/>
        <v>0</v>
      </c>
      <c r="BF112" s="22">
        <f t="shared" si="82"/>
        <v>0</v>
      </c>
      <c r="BG112" s="22">
        <f t="shared" si="83"/>
        <v>0</v>
      </c>
      <c r="BH112" s="22">
        <f t="shared" si="84"/>
        <v>0</v>
      </c>
      <c r="BI112" s="22">
        <f t="shared" si="85"/>
        <v>0</v>
      </c>
      <c r="BJ112" s="37" t="s">
        <v>605</v>
      </c>
      <c r="BK112" s="20" t="s">
        <v>606</v>
      </c>
      <c r="BL112" s="43">
        <f t="shared" si="86"/>
        <v>0</v>
      </c>
      <c r="BM112" s="39">
        <f t="shared" si="87"/>
        <v>0</v>
      </c>
    </row>
    <row r="113" spans="1:65" ht="34.5" customHeight="1">
      <c r="A113" s="36" t="s">
        <v>605</v>
      </c>
      <c r="B113" s="20" t="s">
        <v>606</v>
      </c>
      <c r="C113" s="66">
        <v>349</v>
      </c>
      <c r="D113" s="31" t="s">
        <v>635</v>
      </c>
      <c r="E113" s="41">
        <v>888.79642732476691</v>
      </c>
      <c r="F113" s="21">
        <f t="shared" si="91"/>
        <v>88.879642732476697</v>
      </c>
      <c r="G113" s="21">
        <f t="shared" si="92"/>
        <v>16.887132119170573</v>
      </c>
      <c r="H113" s="21">
        <f t="shared" si="93"/>
        <v>994.56320217641417</v>
      </c>
      <c r="J113" s="10">
        <f t="shared" si="60"/>
        <v>0</v>
      </c>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K113" s="22">
        <f t="shared" si="61"/>
        <v>0</v>
      </c>
      <c r="AL113" s="22">
        <f t="shared" si="62"/>
        <v>0</v>
      </c>
      <c r="AM113" s="22">
        <f t="shared" si="63"/>
        <v>0</v>
      </c>
      <c r="AN113" s="22">
        <f t="shared" si="64"/>
        <v>0</v>
      </c>
      <c r="AO113" s="22">
        <f t="shared" si="65"/>
        <v>0</v>
      </c>
      <c r="AP113" s="22">
        <f t="shared" si="66"/>
        <v>0</v>
      </c>
      <c r="AQ113" s="22">
        <f t="shared" si="67"/>
        <v>0</v>
      </c>
      <c r="AR113" s="22">
        <f t="shared" si="68"/>
        <v>0</v>
      </c>
      <c r="AS113" s="22">
        <f t="shared" si="69"/>
        <v>0</v>
      </c>
      <c r="AT113" s="22">
        <f t="shared" si="70"/>
        <v>0</v>
      </c>
      <c r="AU113" s="22">
        <f t="shared" si="71"/>
        <v>0</v>
      </c>
      <c r="AV113" s="22">
        <f t="shared" si="72"/>
        <v>0</v>
      </c>
      <c r="AW113" s="22">
        <f t="shared" si="73"/>
        <v>0</v>
      </c>
      <c r="AX113" s="22">
        <f t="shared" si="74"/>
        <v>0</v>
      </c>
      <c r="AY113" s="22">
        <f t="shared" si="75"/>
        <v>0</v>
      </c>
      <c r="AZ113" s="22">
        <f t="shared" si="76"/>
        <v>0</v>
      </c>
      <c r="BA113" s="22">
        <f t="shared" si="77"/>
        <v>0</v>
      </c>
      <c r="BB113" s="22">
        <f t="shared" si="78"/>
        <v>0</v>
      </c>
      <c r="BC113" s="22">
        <f t="shared" si="79"/>
        <v>0</v>
      </c>
      <c r="BD113" s="22">
        <f t="shared" si="80"/>
        <v>0</v>
      </c>
      <c r="BE113" s="22">
        <f t="shared" si="81"/>
        <v>0</v>
      </c>
      <c r="BF113" s="22">
        <f t="shared" si="82"/>
        <v>0</v>
      </c>
      <c r="BG113" s="22">
        <f t="shared" si="83"/>
        <v>0</v>
      </c>
      <c r="BH113" s="22">
        <f t="shared" si="84"/>
        <v>0</v>
      </c>
      <c r="BI113" s="22">
        <f t="shared" si="85"/>
        <v>0</v>
      </c>
      <c r="BJ113" s="37" t="s">
        <v>605</v>
      </c>
      <c r="BK113" s="20" t="s">
        <v>606</v>
      </c>
      <c r="BL113" s="43">
        <f t="shared" si="86"/>
        <v>0</v>
      </c>
      <c r="BM113" s="39">
        <f t="shared" si="87"/>
        <v>0</v>
      </c>
    </row>
    <row r="114" spans="1:65" ht="34.5" customHeight="1">
      <c r="A114" s="36" t="s">
        <v>605</v>
      </c>
      <c r="B114" s="20" t="s">
        <v>606</v>
      </c>
      <c r="C114" s="66">
        <v>351</v>
      </c>
      <c r="D114" s="31" t="s">
        <v>636</v>
      </c>
      <c r="E114" s="41">
        <v>3910.3723301160612</v>
      </c>
      <c r="F114" s="21">
        <f t="shared" si="91"/>
        <v>391.03723301160613</v>
      </c>
      <c r="G114" s="21">
        <f t="shared" si="92"/>
        <v>74.297074272205165</v>
      </c>
      <c r="H114" s="21">
        <f t="shared" si="93"/>
        <v>4375.7066373998732</v>
      </c>
      <c r="J114" s="10">
        <f t="shared" si="60"/>
        <v>0</v>
      </c>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K114" s="22">
        <f t="shared" si="61"/>
        <v>0</v>
      </c>
      <c r="AL114" s="22">
        <f t="shared" si="62"/>
        <v>0</v>
      </c>
      <c r="AM114" s="22">
        <f t="shared" si="63"/>
        <v>0</v>
      </c>
      <c r="AN114" s="22">
        <f t="shared" si="64"/>
        <v>0</v>
      </c>
      <c r="AO114" s="22">
        <f t="shared" si="65"/>
        <v>0</v>
      </c>
      <c r="AP114" s="22">
        <f t="shared" si="66"/>
        <v>0</v>
      </c>
      <c r="AQ114" s="22">
        <f t="shared" si="67"/>
        <v>0</v>
      </c>
      <c r="AR114" s="22">
        <f t="shared" si="68"/>
        <v>0</v>
      </c>
      <c r="AS114" s="22">
        <f t="shared" si="69"/>
        <v>0</v>
      </c>
      <c r="AT114" s="22">
        <f t="shared" si="70"/>
        <v>0</v>
      </c>
      <c r="AU114" s="22">
        <f t="shared" si="71"/>
        <v>0</v>
      </c>
      <c r="AV114" s="22">
        <f t="shared" si="72"/>
        <v>0</v>
      </c>
      <c r="AW114" s="22">
        <f t="shared" si="73"/>
        <v>0</v>
      </c>
      <c r="AX114" s="22">
        <f t="shared" si="74"/>
        <v>0</v>
      </c>
      <c r="AY114" s="22">
        <f t="shared" si="75"/>
        <v>0</v>
      </c>
      <c r="AZ114" s="22">
        <f t="shared" si="76"/>
        <v>0</v>
      </c>
      <c r="BA114" s="22">
        <f t="shared" si="77"/>
        <v>0</v>
      </c>
      <c r="BB114" s="22">
        <f t="shared" si="78"/>
        <v>0</v>
      </c>
      <c r="BC114" s="22">
        <f t="shared" si="79"/>
        <v>0</v>
      </c>
      <c r="BD114" s="22">
        <f t="shared" si="80"/>
        <v>0</v>
      </c>
      <c r="BE114" s="22">
        <f t="shared" si="81"/>
        <v>0</v>
      </c>
      <c r="BF114" s="22">
        <f t="shared" si="82"/>
        <v>0</v>
      </c>
      <c r="BG114" s="22">
        <f t="shared" si="83"/>
        <v>0</v>
      </c>
      <c r="BH114" s="22">
        <f t="shared" si="84"/>
        <v>0</v>
      </c>
      <c r="BI114" s="22">
        <f t="shared" si="85"/>
        <v>0</v>
      </c>
      <c r="BJ114" s="37" t="s">
        <v>605</v>
      </c>
      <c r="BK114" s="20" t="s">
        <v>606</v>
      </c>
      <c r="BL114" s="43">
        <f t="shared" si="86"/>
        <v>0</v>
      </c>
      <c r="BM114" s="39">
        <f t="shared" si="87"/>
        <v>0</v>
      </c>
    </row>
    <row r="115" spans="1:65" ht="34.5" customHeight="1">
      <c r="A115" s="36" t="s">
        <v>605</v>
      </c>
      <c r="B115" s="20" t="s">
        <v>606</v>
      </c>
      <c r="C115" s="66">
        <v>354</v>
      </c>
      <c r="D115" s="31" t="s">
        <v>637</v>
      </c>
      <c r="E115" s="41">
        <v>3432.3641675212289</v>
      </c>
      <c r="F115" s="21">
        <f t="shared" si="91"/>
        <v>343.23641675212292</v>
      </c>
      <c r="G115" s="21">
        <f t="shared" si="92"/>
        <v>65.214919182903358</v>
      </c>
      <c r="H115" s="21">
        <f t="shared" si="93"/>
        <v>3840.8155034562551</v>
      </c>
      <c r="J115" s="10">
        <f t="shared" si="60"/>
        <v>0</v>
      </c>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K115" s="22">
        <f t="shared" si="61"/>
        <v>0</v>
      </c>
      <c r="AL115" s="22">
        <f t="shared" si="62"/>
        <v>0</v>
      </c>
      <c r="AM115" s="22">
        <f t="shared" si="63"/>
        <v>0</v>
      </c>
      <c r="AN115" s="22">
        <f t="shared" si="64"/>
        <v>0</v>
      </c>
      <c r="AO115" s="22">
        <f t="shared" si="65"/>
        <v>0</v>
      </c>
      <c r="AP115" s="22">
        <f t="shared" si="66"/>
        <v>0</v>
      </c>
      <c r="AQ115" s="22">
        <f t="shared" si="67"/>
        <v>0</v>
      </c>
      <c r="AR115" s="22">
        <f t="shared" si="68"/>
        <v>0</v>
      </c>
      <c r="AS115" s="22">
        <f t="shared" si="69"/>
        <v>0</v>
      </c>
      <c r="AT115" s="22">
        <f t="shared" si="70"/>
        <v>0</v>
      </c>
      <c r="AU115" s="22">
        <f t="shared" si="71"/>
        <v>0</v>
      </c>
      <c r="AV115" s="22">
        <f t="shared" si="72"/>
        <v>0</v>
      </c>
      <c r="AW115" s="22">
        <f t="shared" si="73"/>
        <v>0</v>
      </c>
      <c r="AX115" s="22">
        <f t="shared" si="74"/>
        <v>0</v>
      </c>
      <c r="AY115" s="22">
        <f t="shared" si="75"/>
        <v>0</v>
      </c>
      <c r="AZ115" s="22">
        <f t="shared" si="76"/>
        <v>0</v>
      </c>
      <c r="BA115" s="22">
        <f t="shared" si="77"/>
        <v>0</v>
      </c>
      <c r="BB115" s="22">
        <f t="shared" si="78"/>
        <v>0</v>
      </c>
      <c r="BC115" s="22">
        <f t="shared" si="79"/>
        <v>0</v>
      </c>
      <c r="BD115" s="22">
        <f t="shared" si="80"/>
        <v>0</v>
      </c>
      <c r="BE115" s="22">
        <f t="shared" si="81"/>
        <v>0</v>
      </c>
      <c r="BF115" s="22">
        <f t="shared" si="82"/>
        <v>0</v>
      </c>
      <c r="BG115" s="22">
        <f t="shared" si="83"/>
        <v>0</v>
      </c>
      <c r="BH115" s="22">
        <f t="shared" si="84"/>
        <v>0</v>
      </c>
      <c r="BI115" s="22">
        <f t="shared" si="85"/>
        <v>0</v>
      </c>
      <c r="BJ115" s="37" t="s">
        <v>605</v>
      </c>
      <c r="BK115" s="20" t="s">
        <v>606</v>
      </c>
      <c r="BL115" s="43">
        <f t="shared" si="86"/>
        <v>0</v>
      </c>
      <c r="BM115" s="39">
        <f t="shared" si="87"/>
        <v>0</v>
      </c>
    </row>
    <row r="116" spans="1:65" ht="34.5" customHeight="1">
      <c r="A116" s="36" t="s">
        <v>605</v>
      </c>
      <c r="B116" s="20" t="s">
        <v>606</v>
      </c>
      <c r="C116" s="66">
        <v>357</v>
      </c>
      <c r="D116" s="31" t="s">
        <v>638</v>
      </c>
      <c r="E116" s="41">
        <v>2346.0574230131801</v>
      </c>
      <c r="F116" s="21">
        <f t="shared" si="91"/>
        <v>234.60574230131803</v>
      </c>
      <c r="G116" s="21">
        <f t="shared" si="92"/>
        <v>44.575091037250424</v>
      </c>
      <c r="H116" s="21">
        <f t="shared" si="93"/>
        <v>2625.2382563517485</v>
      </c>
      <c r="J116" s="10">
        <f t="shared" si="60"/>
        <v>0</v>
      </c>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K116" s="22">
        <f t="shared" si="61"/>
        <v>0</v>
      </c>
      <c r="AL116" s="22">
        <f t="shared" si="62"/>
        <v>0</v>
      </c>
      <c r="AM116" s="22">
        <f t="shared" si="63"/>
        <v>0</v>
      </c>
      <c r="AN116" s="22">
        <f t="shared" si="64"/>
        <v>0</v>
      </c>
      <c r="AO116" s="22">
        <f t="shared" si="65"/>
        <v>0</v>
      </c>
      <c r="AP116" s="22">
        <f t="shared" si="66"/>
        <v>0</v>
      </c>
      <c r="AQ116" s="22">
        <f t="shared" si="67"/>
        <v>0</v>
      </c>
      <c r="AR116" s="22">
        <f t="shared" si="68"/>
        <v>0</v>
      </c>
      <c r="AS116" s="22">
        <f t="shared" si="69"/>
        <v>0</v>
      </c>
      <c r="AT116" s="22">
        <f t="shared" si="70"/>
        <v>0</v>
      </c>
      <c r="AU116" s="22">
        <f t="shared" si="71"/>
        <v>0</v>
      </c>
      <c r="AV116" s="22">
        <f t="shared" si="72"/>
        <v>0</v>
      </c>
      <c r="AW116" s="22">
        <f t="shared" si="73"/>
        <v>0</v>
      </c>
      <c r="AX116" s="22">
        <f t="shared" si="74"/>
        <v>0</v>
      </c>
      <c r="AY116" s="22">
        <f t="shared" si="75"/>
        <v>0</v>
      </c>
      <c r="AZ116" s="22">
        <f t="shared" si="76"/>
        <v>0</v>
      </c>
      <c r="BA116" s="22">
        <f t="shared" si="77"/>
        <v>0</v>
      </c>
      <c r="BB116" s="22">
        <f t="shared" si="78"/>
        <v>0</v>
      </c>
      <c r="BC116" s="22">
        <f t="shared" si="79"/>
        <v>0</v>
      </c>
      <c r="BD116" s="22">
        <f t="shared" si="80"/>
        <v>0</v>
      </c>
      <c r="BE116" s="22">
        <f t="shared" si="81"/>
        <v>0</v>
      </c>
      <c r="BF116" s="22">
        <f t="shared" si="82"/>
        <v>0</v>
      </c>
      <c r="BG116" s="22">
        <f t="shared" si="83"/>
        <v>0</v>
      </c>
      <c r="BH116" s="22">
        <f t="shared" si="84"/>
        <v>0</v>
      </c>
      <c r="BI116" s="22">
        <f t="shared" si="85"/>
        <v>0</v>
      </c>
      <c r="BJ116" s="37" t="s">
        <v>605</v>
      </c>
      <c r="BK116" s="20" t="s">
        <v>606</v>
      </c>
      <c r="BL116" s="43">
        <f t="shared" si="86"/>
        <v>0</v>
      </c>
      <c r="BM116" s="39">
        <f t="shared" si="87"/>
        <v>0</v>
      </c>
    </row>
    <row r="117" spans="1:65" ht="34.5" customHeight="1">
      <c r="A117" s="36" t="s">
        <v>605</v>
      </c>
      <c r="B117" s="20" t="s">
        <v>606</v>
      </c>
      <c r="C117" s="66">
        <v>360</v>
      </c>
      <c r="D117" s="31" t="s">
        <v>639</v>
      </c>
      <c r="E117" s="41">
        <v>4680.4965920744025</v>
      </c>
      <c r="F117" s="21">
        <f t="shared" si="91"/>
        <v>468.0496592074403</v>
      </c>
      <c r="G117" s="21">
        <f t="shared" si="92"/>
        <v>88.929435249413658</v>
      </c>
      <c r="H117" s="21">
        <f t="shared" si="93"/>
        <v>5237.4756865312565</v>
      </c>
      <c r="J117" s="10">
        <f t="shared" si="60"/>
        <v>0</v>
      </c>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K117" s="22">
        <f t="shared" si="61"/>
        <v>0</v>
      </c>
      <c r="AL117" s="22">
        <f t="shared" si="62"/>
        <v>0</v>
      </c>
      <c r="AM117" s="22">
        <f t="shared" si="63"/>
        <v>0</v>
      </c>
      <c r="AN117" s="22">
        <f t="shared" si="64"/>
        <v>0</v>
      </c>
      <c r="AO117" s="22">
        <f t="shared" si="65"/>
        <v>0</v>
      </c>
      <c r="AP117" s="22">
        <f t="shared" si="66"/>
        <v>0</v>
      </c>
      <c r="AQ117" s="22">
        <f t="shared" si="67"/>
        <v>0</v>
      </c>
      <c r="AR117" s="22">
        <f t="shared" si="68"/>
        <v>0</v>
      </c>
      <c r="AS117" s="22">
        <f t="shared" si="69"/>
        <v>0</v>
      </c>
      <c r="AT117" s="22">
        <f t="shared" si="70"/>
        <v>0</v>
      </c>
      <c r="AU117" s="22">
        <f t="shared" si="71"/>
        <v>0</v>
      </c>
      <c r="AV117" s="22">
        <f t="shared" si="72"/>
        <v>0</v>
      </c>
      <c r="AW117" s="22">
        <f t="shared" si="73"/>
        <v>0</v>
      </c>
      <c r="AX117" s="22">
        <f t="shared" si="74"/>
        <v>0</v>
      </c>
      <c r="AY117" s="22">
        <f t="shared" si="75"/>
        <v>0</v>
      </c>
      <c r="AZ117" s="22">
        <f t="shared" si="76"/>
        <v>0</v>
      </c>
      <c r="BA117" s="22">
        <f t="shared" si="77"/>
        <v>0</v>
      </c>
      <c r="BB117" s="22">
        <f t="shared" si="78"/>
        <v>0</v>
      </c>
      <c r="BC117" s="22">
        <f t="shared" si="79"/>
        <v>0</v>
      </c>
      <c r="BD117" s="22">
        <f t="shared" si="80"/>
        <v>0</v>
      </c>
      <c r="BE117" s="22">
        <f t="shared" si="81"/>
        <v>0</v>
      </c>
      <c r="BF117" s="22">
        <f t="shared" si="82"/>
        <v>0</v>
      </c>
      <c r="BG117" s="22">
        <f t="shared" si="83"/>
        <v>0</v>
      </c>
      <c r="BH117" s="22">
        <f t="shared" si="84"/>
        <v>0</v>
      </c>
      <c r="BI117" s="22">
        <f t="shared" si="85"/>
        <v>0</v>
      </c>
      <c r="BJ117" s="37" t="s">
        <v>605</v>
      </c>
      <c r="BK117" s="20" t="s">
        <v>606</v>
      </c>
      <c r="BL117" s="43">
        <f t="shared" si="86"/>
        <v>0</v>
      </c>
      <c r="BM117" s="39">
        <f t="shared" si="87"/>
        <v>0</v>
      </c>
    </row>
    <row r="118" spans="1:65" ht="34.5" customHeight="1">
      <c r="A118" s="36" t="s">
        <v>605</v>
      </c>
      <c r="B118" s="20" t="s">
        <v>606</v>
      </c>
      <c r="C118" s="66">
        <v>365</v>
      </c>
      <c r="D118" s="31" t="s">
        <v>640</v>
      </c>
      <c r="E118" s="41">
        <v>18055.596516624606</v>
      </c>
      <c r="F118" s="21">
        <f t="shared" si="91"/>
        <v>1805.5596516624607</v>
      </c>
      <c r="G118" s="21">
        <f t="shared" si="92"/>
        <v>343.05633381586756</v>
      </c>
      <c r="H118" s="21">
        <f t="shared" si="93"/>
        <v>20204.212502102935</v>
      </c>
      <c r="J118" s="10">
        <f t="shared" si="60"/>
        <v>4</v>
      </c>
      <c r="K118" s="167">
        <v>2</v>
      </c>
      <c r="L118" s="167"/>
      <c r="M118" s="167"/>
      <c r="N118" s="167">
        <v>1</v>
      </c>
      <c r="O118" s="167"/>
      <c r="P118" s="167"/>
      <c r="Q118" s="167"/>
      <c r="R118" s="167"/>
      <c r="S118" s="167"/>
      <c r="T118" s="167"/>
      <c r="U118" s="167"/>
      <c r="V118" s="167">
        <v>1</v>
      </c>
      <c r="W118" s="167"/>
      <c r="X118" s="167"/>
      <c r="Y118" s="167"/>
      <c r="Z118" s="167"/>
      <c r="AA118" s="167"/>
      <c r="AB118" s="167"/>
      <c r="AC118" s="167"/>
      <c r="AD118" s="167"/>
      <c r="AE118" s="167"/>
      <c r="AF118" s="167"/>
      <c r="AG118" s="167"/>
      <c r="AH118" s="167"/>
      <c r="AI118" s="167"/>
      <c r="AK118" s="22">
        <f t="shared" si="61"/>
        <v>40408.42500420587</v>
      </c>
      <c r="AL118" s="22">
        <f t="shared" si="62"/>
        <v>0</v>
      </c>
      <c r="AM118" s="22">
        <f t="shared" si="63"/>
        <v>0</v>
      </c>
      <c r="AN118" s="22">
        <f t="shared" si="64"/>
        <v>20204.212502102935</v>
      </c>
      <c r="AO118" s="22">
        <f t="shared" si="65"/>
        <v>0</v>
      </c>
      <c r="AP118" s="22">
        <f t="shared" si="66"/>
        <v>0</v>
      </c>
      <c r="AQ118" s="22">
        <f t="shared" si="67"/>
        <v>0</v>
      </c>
      <c r="AR118" s="22">
        <f t="shared" si="68"/>
        <v>0</v>
      </c>
      <c r="AS118" s="22">
        <f t="shared" si="69"/>
        <v>0</v>
      </c>
      <c r="AT118" s="22">
        <f t="shared" si="70"/>
        <v>0</v>
      </c>
      <c r="AU118" s="22">
        <f t="shared" si="71"/>
        <v>0</v>
      </c>
      <c r="AV118" s="22">
        <f t="shared" si="72"/>
        <v>20204.212502102935</v>
      </c>
      <c r="AW118" s="22">
        <f t="shared" si="73"/>
        <v>0</v>
      </c>
      <c r="AX118" s="22">
        <f t="shared" si="74"/>
        <v>0</v>
      </c>
      <c r="AY118" s="22">
        <f t="shared" si="75"/>
        <v>0</v>
      </c>
      <c r="AZ118" s="22">
        <f t="shared" si="76"/>
        <v>0</v>
      </c>
      <c r="BA118" s="22">
        <f t="shared" si="77"/>
        <v>0</v>
      </c>
      <c r="BB118" s="22">
        <f t="shared" si="78"/>
        <v>0</v>
      </c>
      <c r="BC118" s="22">
        <f t="shared" si="79"/>
        <v>0</v>
      </c>
      <c r="BD118" s="22">
        <f t="shared" si="80"/>
        <v>0</v>
      </c>
      <c r="BE118" s="22">
        <f t="shared" si="81"/>
        <v>0</v>
      </c>
      <c r="BF118" s="22">
        <f t="shared" si="82"/>
        <v>0</v>
      </c>
      <c r="BG118" s="22">
        <f t="shared" si="83"/>
        <v>0</v>
      </c>
      <c r="BH118" s="22">
        <f t="shared" si="84"/>
        <v>0</v>
      </c>
      <c r="BI118" s="22">
        <f t="shared" si="85"/>
        <v>0</v>
      </c>
      <c r="BJ118" s="37" t="s">
        <v>605</v>
      </c>
      <c r="BK118" s="20" t="s">
        <v>606</v>
      </c>
      <c r="BL118" s="43">
        <f t="shared" si="86"/>
        <v>80816.85000841174</v>
      </c>
      <c r="BM118" s="39">
        <f t="shared" si="87"/>
        <v>72222.386066498424</v>
      </c>
    </row>
    <row r="119" spans="1:65" ht="34.5" customHeight="1">
      <c r="A119" s="36" t="s">
        <v>605</v>
      </c>
      <c r="B119" s="20" t="s">
        <v>606</v>
      </c>
      <c r="C119" s="66">
        <v>367</v>
      </c>
      <c r="D119" s="31" t="s">
        <v>641</v>
      </c>
      <c r="E119" s="41">
        <v>20196.311674477962</v>
      </c>
      <c r="F119" s="21">
        <f t="shared" si="91"/>
        <v>2019.6311674477963</v>
      </c>
      <c r="G119" s="21">
        <f t="shared" si="92"/>
        <v>383.7299218150813</v>
      </c>
      <c r="H119" s="21">
        <f t="shared" si="93"/>
        <v>22599.672763740837</v>
      </c>
      <c r="J119" s="10">
        <f t="shared" si="60"/>
        <v>58</v>
      </c>
      <c r="K119" s="167">
        <v>18</v>
      </c>
      <c r="L119" s="167">
        <v>6</v>
      </c>
      <c r="M119" s="167">
        <v>1</v>
      </c>
      <c r="N119" s="167"/>
      <c r="O119" s="167">
        <v>2</v>
      </c>
      <c r="P119" s="167">
        <v>2</v>
      </c>
      <c r="Q119" s="167">
        <v>2</v>
      </c>
      <c r="R119" s="167">
        <v>2</v>
      </c>
      <c r="S119" s="167">
        <v>2</v>
      </c>
      <c r="T119" s="167">
        <v>4</v>
      </c>
      <c r="U119" s="167">
        <v>2</v>
      </c>
      <c r="V119" s="167"/>
      <c r="W119" s="167">
        <v>1</v>
      </c>
      <c r="X119" s="167">
        <v>2</v>
      </c>
      <c r="Y119" s="167">
        <v>1</v>
      </c>
      <c r="Z119" s="167">
        <v>2</v>
      </c>
      <c r="AA119" s="167">
        <v>1</v>
      </c>
      <c r="AB119" s="167">
        <v>2</v>
      </c>
      <c r="AC119" s="167">
        <v>1</v>
      </c>
      <c r="AD119" s="167">
        <v>1</v>
      </c>
      <c r="AE119" s="167">
        <v>1</v>
      </c>
      <c r="AF119" s="167">
        <v>1</v>
      </c>
      <c r="AG119" s="167">
        <v>1</v>
      </c>
      <c r="AH119" s="167">
        <v>1</v>
      </c>
      <c r="AI119" s="167">
        <v>2</v>
      </c>
      <c r="AK119" s="22">
        <f t="shared" si="61"/>
        <v>406794.10974733508</v>
      </c>
      <c r="AL119" s="22">
        <f t="shared" si="62"/>
        <v>135598.03658244503</v>
      </c>
      <c r="AM119" s="22">
        <f t="shared" si="63"/>
        <v>22599.672763740837</v>
      </c>
      <c r="AN119" s="22">
        <f t="shared" si="64"/>
        <v>0</v>
      </c>
      <c r="AO119" s="22">
        <f t="shared" si="65"/>
        <v>45199.345527481673</v>
      </c>
      <c r="AP119" s="22">
        <f t="shared" si="66"/>
        <v>45199.345527481673</v>
      </c>
      <c r="AQ119" s="22">
        <f t="shared" si="67"/>
        <v>45199.345527481673</v>
      </c>
      <c r="AR119" s="22">
        <f t="shared" si="68"/>
        <v>45199.345527481673</v>
      </c>
      <c r="AS119" s="22">
        <f t="shared" si="69"/>
        <v>45199.345527481673</v>
      </c>
      <c r="AT119" s="22">
        <f t="shared" si="70"/>
        <v>90398.691054963347</v>
      </c>
      <c r="AU119" s="22">
        <f t="shared" si="71"/>
        <v>45199.345527481673</v>
      </c>
      <c r="AV119" s="22">
        <f t="shared" si="72"/>
        <v>0</v>
      </c>
      <c r="AW119" s="22">
        <f t="shared" si="73"/>
        <v>22599.672763740837</v>
      </c>
      <c r="AX119" s="22">
        <f t="shared" si="74"/>
        <v>45199.345527481673</v>
      </c>
      <c r="AY119" s="22">
        <f t="shared" si="75"/>
        <v>22599.672763740837</v>
      </c>
      <c r="AZ119" s="22">
        <f t="shared" si="76"/>
        <v>45199.345527481673</v>
      </c>
      <c r="BA119" s="22">
        <f t="shared" si="77"/>
        <v>22599.672763740837</v>
      </c>
      <c r="BB119" s="22">
        <f t="shared" si="78"/>
        <v>45199.345527481673</v>
      </c>
      <c r="BC119" s="22">
        <f t="shared" si="79"/>
        <v>22599.672763740837</v>
      </c>
      <c r="BD119" s="22">
        <f t="shared" si="80"/>
        <v>22599.672763740837</v>
      </c>
      <c r="BE119" s="22">
        <f t="shared" si="81"/>
        <v>22599.672763740837</v>
      </c>
      <c r="BF119" s="22">
        <f t="shared" si="82"/>
        <v>22599.672763740837</v>
      </c>
      <c r="BG119" s="22">
        <f t="shared" si="83"/>
        <v>22599.672763740837</v>
      </c>
      <c r="BH119" s="22">
        <f t="shared" si="84"/>
        <v>22599.672763740837</v>
      </c>
      <c r="BI119" s="22">
        <f t="shared" si="85"/>
        <v>45199.345527481673</v>
      </c>
      <c r="BJ119" s="37" t="s">
        <v>605</v>
      </c>
      <c r="BK119" s="20" t="s">
        <v>606</v>
      </c>
      <c r="BL119" s="43">
        <f t="shared" si="86"/>
        <v>1310781.0202969685</v>
      </c>
      <c r="BM119" s="39">
        <f t="shared" si="87"/>
        <v>1171386.0771197218</v>
      </c>
    </row>
    <row r="120" spans="1:65" ht="34.5" customHeight="1">
      <c r="A120" s="36" t="s">
        <v>605</v>
      </c>
      <c r="B120" s="20" t="s">
        <v>606</v>
      </c>
      <c r="C120" s="66">
        <v>372</v>
      </c>
      <c r="D120" s="31" t="s">
        <v>642</v>
      </c>
      <c r="E120" s="41">
        <v>20942.421420455248</v>
      </c>
      <c r="F120" s="21">
        <f t="shared" si="91"/>
        <v>2094.2421420455248</v>
      </c>
      <c r="G120" s="21">
        <f t="shared" si="92"/>
        <v>397.90600698864972</v>
      </c>
      <c r="H120" s="21">
        <f t="shared" si="93"/>
        <v>23434.569569489424</v>
      </c>
      <c r="J120" s="10">
        <f t="shared" si="60"/>
        <v>77</v>
      </c>
      <c r="K120" s="167">
        <v>17</v>
      </c>
      <c r="L120" s="167">
        <v>4</v>
      </c>
      <c r="M120" s="167">
        <v>5</v>
      </c>
      <c r="N120" s="167">
        <v>2</v>
      </c>
      <c r="O120" s="167">
        <v>8</v>
      </c>
      <c r="P120" s="167">
        <v>3</v>
      </c>
      <c r="Q120" s="167">
        <v>3</v>
      </c>
      <c r="R120" s="167">
        <v>3</v>
      </c>
      <c r="S120" s="167">
        <v>3</v>
      </c>
      <c r="T120" s="167">
        <v>4</v>
      </c>
      <c r="U120" s="167">
        <v>3</v>
      </c>
      <c r="V120" s="167">
        <v>2</v>
      </c>
      <c r="W120" s="167">
        <v>2</v>
      </c>
      <c r="X120" s="167">
        <v>1</v>
      </c>
      <c r="Y120" s="167">
        <v>1</v>
      </c>
      <c r="Z120" s="167">
        <v>1</v>
      </c>
      <c r="AA120" s="167">
        <v>2</v>
      </c>
      <c r="AB120" s="167">
        <v>2</v>
      </c>
      <c r="AC120" s="167">
        <v>1</v>
      </c>
      <c r="AD120" s="167">
        <v>2</v>
      </c>
      <c r="AE120" s="167">
        <v>1</v>
      </c>
      <c r="AF120" s="167">
        <v>2</v>
      </c>
      <c r="AG120" s="167">
        <v>2</v>
      </c>
      <c r="AH120" s="167">
        <v>1</v>
      </c>
      <c r="AI120" s="167">
        <v>2</v>
      </c>
      <c r="AK120" s="22">
        <f t="shared" si="61"/>
        <v>398387.68268132024</v>
      </c>
      <c r="AL120" s="22">
        <f t="shared" si="62"/>
        <v>93738.278277957696</v>
      </c>
      <c r="AM120" s="22">
        <f t="shared" si="63"/>
        <v>117172.84784744712</v>
      </c>
      <c r="AN120" s="22">
        <f t="shared" si="64"/>
        <v>46869.139138978848</v>
      </c>
      <c r="AO120" s="22">
        <f t="shared" si="65"/>
        <v>187476.55655591539</v>
      </c>
      <c r="AP120" s="22">
        <f t="shared" si="66"/>
        <v>70303.708708468272</v>
      </c>
      <c r="AQ120" s="22">
        <f t="shared" si="67"/>
        <v>70303.708708468272</v>
      </c>
      <c r="AR120" s="22">
        <f t="shared" si="68"/>
        <v>70303.708708468272</v>
      </c>
      <c r="AS120" s="22">
        <f t="shared" si="69"/>
        <v>70303.708708468272</v>
      </c>
      <c r="AT120" s="22">
        <f t="shared" si="70"/>
        <v>93738.278277957696</v>
      </c>
      <c r="AU120" s="22">
        <f t="shared" si="71"/>
        <v>70303.708708468272</v>
      </c>
      <c r="AV120" s="22">
        <f t="shared" si="72"/>
        <v>46869.139138978848</v>
      </c>
      <c r="AW120" s="22">
        <f t="shared" si="73"/>
        <v>46869.139138978848</v>
      </c>
      <c r="AX120" s="22">
        <f t="shared" si="74"/>
        <v>23434.569569489424</v>
      </c>
      <c r="AY120" s="22">
        <f t="shared" si="75"/>
        <v>23434.569569489424</v>
      </c>
      <c r="AZ120" s="22">
        <f t="shared" si="76"/>
        <v>23434.569569489424</v>
      </c>
      <c r="BA120" s="22">
        <f t="shared" si="77"/>
        <v>46869.139138978848</v>
      </c>
      <c r="BB120" s="22">
        <f t="shared" si="78"/>
        <v>46869.139138978848</v>
      </c>
      <c r="BC120" s="22">
        <f t="shared" si="79"/>
        <v>23434.569569489424</v>
      </c>
      <c r="BD120" s="22">
        <f t="shared" si="80"/>
        <v>46869.139138978848</v>
      </c>
      <c r="BE120" s="22">
        <f t="shared" si="81"/>
        <v>23434.569569489424</v>
      </c>
      <c r="BF120" s="22">
        <f t="shared" si="82"/>
        <v>46869.139138978848</v>
      </c>
      <c r="BG120" s="22">
        <f t="shared" si="83"/>
        <v>46869.139138978848</v>
      </c>
      <c r="BH120" s="22">
        <f t="shared" si="84"/>
        <v>23434.569569489424</v>
      </c>
      <c r="BI120" s="22">
        <f t="shared" si="85"/>
        <v>46869.139138978848</v>
      </c>
      <c r="BJ120" s="37" t="s">
        <v>605</v>
      </c>
      <c r="BK120" s="20" t="s">
        <v>606</v>
      </c>
      <c r="BL120" s="43">
        <f t="shared" si="86"/>
        <v>1804461.8568506856</v>
      </c>
      <c r="BM120" s="39">
        <f t="shared" si="87"/>
        <v>1612566.4493750541</v>
      </c>
    </row>
    <row r="121" spans="1:65" ht="34.5" customHeight="1">
      <c r="A121" s="36" t="s">
        <v>605</v>
      </c>
      <c r="B121" s="20" t="s">
        <v>606</v>
      </c>
      <c r="C121" s="66">
        <v>374</v>
      </c>
      <c r="D121" s="31" t="s">
        <v>643</v>
      </c>
      <c r="E121" s="41">
        <v>2856.4307216170378</v>
      </c>
      <c r="F121" s="21">
        <f t="shared" si="91"/>
        <v>285.6430721617038</v>
      </c>
      <c r="G121" s="21">
        <f t="shared" si="92"/>
        <v>54.272183710723723</v>
      </c>
      <c r="H121" s="21">
        <f t="shared" si="93"/>
        <v>3196.3459774894654</v>
      </c>
      <c r="J121" s="10">
        <f t="shared" si="60"/>
        <v>35</v>
      </c>
      <c r="K121" s="167">
        <v>20</v>
      </c>
      <c r="L121" s="167">
        <v>6</v>
      </c>
      <c r="M121" s="167">
        <v>3</v>
      </c>
      <c r="N121" s="167">
        <v>3</v>
      </c>
      <c r="O121" s="167"/>
      <c r="P121" s="167"/>
      <c r="Q121" s="167"/>
      <c r="R121" s="167"/>
      <c r="S121" s="167"/>
      <c r="T121" s="167"/>
      <c r="U121" s="167"/>
      <c r="V121" s="167"/>
      <c r="W121" s="167"/>
      <c r="X121" s="167"/>
      <c r="Y121" s="167"/>
      <c r="Z121" s="167"/>
      <c r="AA121" s="167"/>
      <c r="AB121" s="167">
        <v>1</v>
      </c>
      <c r="AC121" s="167"/>
      <c r="AD121" s="167"/>
      <c r="AE121" s="167">
        <v>1</v>
      </c>
      <c r="AF121" s="167"/>
      <c r="AG121" s="167"/>
      <c r="AH121" s="167">
        <v>1</v>
      </c>
      <c r="AI121" s="167"/>
      <c r="AK121" s="22">
        <f t="shared" si="61"/>
        <v>63926.919549789309</v>
      </c>
      <c r="AL121" s="22">
        <f t="shared" si="62"/>
        <v>19178.075864936793</v>
      </c>
      <c r="AM121" s="22">
        <f t="shared" si="63"/>
        <v>9589.0379324683963</v>
      </c>
      <c r="AN121" s="22">
        <f t="shared" si="64"/>
        <v>9589.0379324683963</v>
      </c>
      <c r="AO121" s="22">
        <f t="shared" si="65"/>
        <v>0</v>
      </c>
      <c r="AP121" s="22">
        <f t="shared" si="66"/>
        <v>0</v>
      </c>
      <c r="AQ121" s="22">
        <f t="shared" si="67"/>
        <v>0</v>
      </c>
      <c r="AR121" s="22">
        <f t="shared" si="68"/>
        <v>0</v>
      </c>
      <c r="AS121" s="22">
        <f t="shared" si="69"/>
        <v>0</v>
      </c>
      <c r="AT121" s="22">
        <f t="shared" si="70"/>
        <v>0</v>
      </c>
      <c r="AU121" s="22">
        <f t="shared" si="71"/>
        <v>0</v>
      </c>
      <c r="AV121" s="22">
        <f t="shared" si="72"/>
        <v>0</v>
      </c>
      <c r="AW121" s="22">
        <f t="shared" si="73"/>
        <v>0</v>
      </c>
      <c r="AX121" s="22">
        <f t="shared" si="74"/>
        <v>0</v>
      </c>
      <c r="AY121" s="22">
        <f t="shared" si="75"/>
        <v>0</v>
      </c>
      <c r="AZ121" s="22">
        <f t="shared" si="76"/>
        <v>0</v>
      </c>
      <c r="BA121" s="22">
        <f t="shared" si="77"/>
        <v>0</v>
      </c>
      <c r="BB121" s="22">
        <f t="shared" si="78"/>
        <v>3196.3459774894654</v>
      </c>
      <c r="BC121" s="22">
        <f t="shared" si="79"/>
        <v>0</v>
      </c>
      <c r="BD121" s="22">
        <f t="shared" si="80"/>
        <v>0</v>
      </c>
      <c r="BE121" s="22">
        <f t="shared" si="81"/>
        <v>3196.3459774894654</v>
      </c>
      <c r="BF121" s="22">
        <f t="shared" si="82"/>
        <v>0</v>
      </c>
      <c r="BG121" s="22">
        <f t="shared" si="83"/>
        <v>0</v>
      </c>
      <c r="BH121" s="22">
        <f t="shared" si="84"/>
        <v>3196.3459774894654</v>
      </c>
      <c r="BI121" s="22">
        <f t="shared" si="85"/>
        <v>0</v>
      </c>
      <c r="BJ121" s="37" t="s">
        <v>605</v>
      </c>
      <c r="BK121" s="20" t="s">
        <v>606</v>
      </c>
      <c r="BL121" s="43">
        <f t="shared" si="86"/>
        <v>111872.1092121313</v>
      </c>
      <c r="BM121" s="39">
        <f t="shared" si="87"/>
        <v>99975.075256596319</v>
      </c>
    </row>
    <row r="122" spans="1:65" ht="34.5" customHeight="1">
      <c r="A122" s="10" t="s">
        <v>624</v>
      </c>
      <c r="B122" s="38" t="s">
        <v>625</v>
      </c>
      <c r="C122" s="66">
        <v>382</v>
      </c>
      <c r="D122" s="31" t="s">
        <v>644</v>
      </c>
      <c r="E122" s="41">
        <v>20818.718136189986</v>
      </c>
      <c r="F122" s="21">
        <f t="shared" si="91"/>
        <v>2081.8718136189987</v>
      </c>
      <c r="G122" s="21">
        <f t="shared" si="92"/>
        <v>395.55564458760978</v>
      </c>
      <c r="H122" s="21">
        <f t="shared" si="93"/>
        <v>23296.145594396596</v>
      </c>
      <c r="J122" s="10">
        <f t="shared" si="60"/>
        <v>11</v>
      </c>
      <c r="K122" s="167">
        <v>6</v>
      </c>
      <c r="L122" s="167">
        <v>3</v>
      </c>
      <c r="M122" s="167">
        <v>1</v>
      </c>
      <c r="N122" s="167"/>
      <c r="O122" s="167">
        <v>1</v>
      </c>
      <c r="P122" s="167"/>
      <c r="Q122" s="167"/>
      <c r="R122" s="167"/>
      <c r="S122" s="167"/>
      <c r="T122" s="167"/>
      <c r="U122" s="167"/>
      <c r="V122" s="167"/>
      <c r="W122" s="167"/>
      <c r="X122" s="167"/>
      <c r="Y122" s="167"/>
      <c r="Z122" s="167"/>
      <c r="AA122" s="167"/>
      <c r="AB122" s="167"/>
      <c r="AC122" s="167"/>
      <c r="AD122" s="167"/>
      <c r="AE122" s="167"/>
      <c r="AF122" s="167"/>
      <c r="AG122" s="167"/>
      <c r="AH122" s="167"/>
      <c r="AI122" s="167"/>
      <c r="AK122" s="22">
        <f t="shared" si="61"/>
        <v>139776.87356637957</v>
      </c>
      <c r="AL122" s="22">
        <f t="shared" si="62"/>
        <v>69888.436783189783</v>
      </c>
      <c r="AM122" s="22">
        <f t="shared" si="63"/>
        <v>23296.145594396596</v>
      </c>
      <c r="AN122" s="22">
        <f t="shared" si="64"/>
        <v>0</v>
      </c>
      <c r="AO122" s="22">
        <f t="shared" si="65"/>
        <v>23296.145594396596</v>
      </c>
      <c r="AP122" s="22">
        <f t="shared" si="66"/>
        <v>0</v>
      </c>
      <c r="AQ122" s="22">
        <f t="shared" si="67"/>
        <v>0</v>
      </c>
      <c r="AR122" s="22">
        <f t="shared" si="68"/>
        <v>0</v>
      </c>
      <c r="AS122" s="22">
        <f t="shared" si="69"/>
        <v>0</v>
      </c>
      <c r="AT122" s="22">
        <f t="shared" si="70"/>
        <v>0</v>
      </c>
      <c r="AU122" s="22">
        <f t="shared" si="71"/>
        <v>0</v>
      </c>
      <c r="AV122" s="22">
        <f t="shared" si="72"/>
        <v>0</v>
      </c>
      <c r="AW122" s="22">
        <f t="shared" si="73"/>
        <v>0</v>
      </c>
      <c r="AX122" s="22">
        <f t="shared" si="74"/>
        <v>0</v>
      </c>
      <c r="AY122" s="22">
        <f t="shared" si="75"/>
        <v>0</v>
      </c>
      <c r="AZ122" s="22">
        <f t="shared" si="76"/>
        <v>0</v>
      </c>
      <c r="BA122" s="22">
        <f t="shared" si="77"/>
        <v>0</v>
      </c>
      <c r="BB122" s="22">
        <f t="shared" si="78"/>
        <v>0</v>
      </c>
      <c r="BC122" s="22">
        <f t="shared" si="79"/>
        <v>0</v>
      </c>
      <c r="BD122" s="22">
        <f t="shared" si="80"/>
        <v>0</v>
      </c>
      <c r="BE122" s="22">
        <f t="shared" si="81"/>
        <v>0</v>
      </c>
      <c r="BF122" s="22">
        <f t="shared" si="82"/>
        <v>0</v>
      </c>
      <c r="BG122" s="22">
        <f t="shared" si="83"/>
        <v>0</v>
      </c>
      <c r="BH122" s="22">
        <f t="shared" si="84"/>
        <v>0</v>
      </c>
      <c r="BI122" s="22">
        <f t="shared" si="85"/>
        <v>0</v>
      </c>
      <c r="BJ122" s="19" t="s">
        <v>624</v>
      </c>
      <c r="BK122" s="38" t="s">
        <v>625</v>
      </c>
      <c r="BL122" s="43">
        <f t="shared" si="86"/>
        <v>256257.60153836256</v>
      </c>
      <c r="BM122" s="39">
        <f t="shared" si="87"/>
        <v>229005.89949808986</v>
      </c>
    </row>
    <row r="123" spans="1:65" ht="34.5" customHeight="1">
      <c r="A123" s="10" t="s">
        <v>624</v>
      </c>
      <c r="B123" s="38" t="s">
        <v>625</v>
      </c>
      <c r="C123" s="66">
        <v>384</v>
      </c>
      <c r="D123" s="31" t="s">
        <v>645</v>
      </c>
      <c r="E123" s="41">
        <v>57154.807370937808</v>
      </c>
      <c r="F123" s="21">
        <f t="shared" si="91"/>
        <v>5715.4807370937815</v>
      </c>
      <c r="G123" s="21">
        <f t="shared" si="92"/>
        <v>1085.9413400478186</v>
      </c>
      <c r="H123" s="21">
        <f t="shared" si="93"/>
        <v>63956.229448079401</v>
      </c>
      <c r="J123" s="10">
        <f t="shared" si="60"/>
        <v>11</v>
      </c>
      <c r="K123" s="167">
        <v>3</v>
      </c>
      <c r="L123" s="167"/>
      <c r="M123" s="167">
        <v>2</v>
      </c>
      <c r="N123" s="167">
        <v>1</v>
      </c>
      <c r="O123" s="167"/>
      <c r="P123" s="167"/>
      <c r="Q123" s="167"/>
      <c r="R123" s="167"/>
      <c r="S123" s="167"/>
      <c r="T123" s="167"/>
      <c r="U123" s="167"/>
      <c r="V123" s="167"/>
      <c r="W123" s="167"/>
      <c r="X123" s="167"/>
      <c r="Y123" s="167"/>
      <c r="Z123" s="167"/>
      <c r="AA123" s="167"/>
      <c r="AB123" s="167">
        <v>2</v>
      </c>
      <c r="AC123" s="167"/>
      <c r="AD123" s="167">
        <v>1</v>
      </c>
      <c r="AE123" s="167">
        <v>1</v>
      </c>
      <c r="AF123" s="167">
        <v>1</v>
      </c>
      <c r="AG123" s="167"/>
      <c r="AH123" s="167"/>
      <c r="AI123" s="167"/>
      <c r="AK123" s="22">
        <f t="shared" si="61"/>
        <v>191868.68834423821</v>
      </c>
      <c r="AL123" s="22">
        <f t="shared" si="62"/>
        <v>0</v>
      </c>
      <c r="AM123" s="22">
        <f t="shared" si="63"/>
        <v>127912.4588961588</v>
      </c>
      <c r="AN123" s="22">
        <f t="shared" si="64"/>
        <v>63956.229448079401</v>
      </c>
      <c r="AO123" s="22">
        <f t="shared" si="65"/>
        <v>0</v>
      </c>
      <c r="AP123" s="22">
        <f t="shared" si="66"/>
        <v>0</v>
      </c>
      <c r="AQ123" s="22">
        <f t="shared" si="67"/>
        <v>0</v>
      </c>
      <c r="AR123" s="22">
        <f t="shared" si="68"/>
        <v>0</v>
      </c>
      <c r="AS123" s="22">
        <f t="shared" si="69"/>
        <v>0</v>
      </c>
      <c r="AT123" s="22">
        <f t="shared" si="70"/>
        <v>0</v>
      </c>
      <c r="AU123" s="22">
        <f t="shared" si="71"/>
        <v>0</v>
      </c>
      <c r="AV123" s="22">
        <f t="shared" si="72"/>
        <v>0</v>
      </c>
      <c r="AW123" s="22">
        <f t="shared" si="73"/>
        <v>0</v>
      </c>
      <c r="AX123" s="22">
        <f t="shared" si="74"/>
        <v>0</v>
      </c>
      <c r="AY123" s="22">
        <f t="shared" si="75"/>
        <v>0</v>
      </c>
      <c r="AZ123" s="22">
        <f t="shared" si="76"/>
        <v>0</v>
      </c>
      <c r="BA123" s="22">
        <f t="shared" si="77"/>
        <v>0</v>
      </c>
      <c r="BB123" s="22">
        <f t="shared" si="78"/>
        <v>127912.4588961588</v>
      </c>
      <c r="BC123" s="22">
        <f t="shared" si="79"/>
        <v>0</v>
      </c>
      <c r="BD123" s="22">
        <f t="shared" si="80"/>
        <v>63956.229448079401</v>
      </c>
      <c r="BE123" s="22">
        <f t="shared" si="81"/>
        <v>63956.229448079401</v>
      </c>
      <c r="BF123" s="22">
        <f t="shared" si="82"/>
        <v>63956.229448079401</v>
      </c>
      <c r="BG123" s="22">
        <f t="shared" si="83"/>
        <v>0</v>
      </c>
      <c r="BH123" s="22">
        <f t="shared" si="84"/>
        <v>0</v>
      </c>
      <c r="BI123" s="22">
        <f t="shared" si="85"/>
        <v>0</v>
      </c>
      <c r="BJ123" s="19" t="s">
        <v>624</v>
      </c>
      <c r="BK123" s="38" t="s">
        <v>625</v>
      </c>
      <c r="BL123" s="43">
        <f t="shared" si="86"/>
        <v>703518.52392887336</v>
      </c>
      <c r="BM123" s="39">
        <f t="shared" si="87"/>
        <v>628702.88108031591</v>
      </c>
    </row>
    <row r="124" spans="1:65" ht="34.5" customHeight="1">
      <c r="A124" s="10" t="s">
        <v>624</v>
      </c>
      <c r="B124" s="38" t="s">
        <v>625</v>
      </c>
      <c r="C124" s="66">
        <v>386</v>
      </c>
      <c r="D124" s="31" t="s">
        <v>646</v>
      </c>
      <c r="E124" s="41">
        <v>58669.589097129443</v>
      </c>
      <c r="F124" s="21">
        <f t="shared" si="91"/>
        <v>5866.9589097129447</v>
      </c>
      <c r="G124" s="21">
        <f t="shared" si="92"/>
        <v>1114.7221928454594</v>
      </c>
      <c r="H124" s="21">
        <f t="shared" si="93"/>
        <v>65651.270199687846</v>
      </c>
      <c r="J124" s="10">
        <f t="shared" si="60"/>
        <v>7</v>
      </c>
      <c r="K124" s="167"/>
      <c r="L124" s="167"/>
      <c r="M124" s="167"/>
      <c r="N124" s="167"/>
      <c r="O124" s="167"/>
      <c r="P124" s="167"/>
      <c r="Q124" s="167"/>
      <c r="R124" s="167"/>
      <c r="S124" s="167"/>
      <c r="T124" s="167"/>
      <c r="U124" s="167"/>
      <c r="V124" s="167">
        <v>1</v>
      </c>
      <c r="W124" s="167">
        <v>1</v>
      </c>
      <c r="X124" s="167">
        <v>1</v>
      </c>
      <c r="Y124" s="167">
        <v>1</v>
      </c>
      <c r="Z124" s="167"/>
      <c r="AA124" s="167"/>
      <c r="AB124" s="167"/>
      <c r="AC124" s="167">
        <v>1</v>
      </c>
      <c r="AD124" s="167"/>
      <c r="AE124" s="167"/>
      <c r="AF124" s="167"/>
      <c r="AG124" s="167">
        <v>1</v>
      </c>
      <c r="AH124" s="167">
        <v>1</v>
      </c>
      <c r="AI124" s="167"/>
      <c r="AK124" s="22">
        <f t="shared" si="61"/>
        <v>0</v>
      </c>
      <c r="AL124" s="22">
        <f t="shared" si="62"/>
        <v>0</v>
      </c>
      <c r="AM124" s="22">
        <f t="shared" si="63"/>
        <v>0</v>
      </c>
      <c r="AN124" s="22">
        <f t="shared" si="64"/>
        <v>0</v>
      </c>
      <c r="AO124" s="22">
        <f t="shared" si="65"/>
        <v>0</v>
      </c>
      <c r="AP124" s="22">
        <f t="shared" si="66"/>
        <v>0</v>
      </c>
      <c r="AQ124" s="22">
        <f t="shared" si="67"/>
        <v>0</v>
      </c>
      <c r="AR124" s="22">
        <f t="shared" si="68"/>
        <v>0</v>
      </c>
      <c r="AS124" s="22">
        <f t="shared" si="69"/>
        <v>0</v>
      </c>
      <c r="AT124" s="22">
        <f t="shared" si="70"/>
        <v>0</v>
      </c>
      <c r="AU124" s="22">
        <f t="shared" si="71"/>
        <v>0</v>
      </c>
      <c r="AV124" s="22">
        <f t="shared" si="72"/>
        <v>65651.270199687846</v>
      </c>
      <c r="AW124" s="22">
        <f t="shared" si="73"/>
        <v>65651.270199687846</v>
      </c>
      <c r="AX124" s="22">
        <f t="shared" si="74"/>
        <v>65651.270199687846</v>
      </c>
      <c r="AY124" s="22">
        <f t="shared" si="75"/>
        <v>65651.270199687846</v>
      </c>
      <c r="AZ124" s="22">
        <f t="shared" si="76"/>
        <v>0</v>
      </c>
      <c r="BA124" s="22">
        <f t="shared" si="77"/>
        <v>0</v>
      </c>
      <c r="BB124" s="22">
        <f t="shared" si="78"/>
        <v>0</v>
      </c>
      <c r="BC124" s="22">
        <f t="shared" si="79"/>
        <v>65651.270199687846</v>
      </c>
      <c r="BD124" s="22">
        <f t="shared" si="80"/>
        <v>0</v>
      </c>
      <c r="BE124" s="22">
        <f t="shared" si="81"/>
        <v>0</v>
      </c>
      <c r="BF124" s="22">
        <f t="shared" si="82"/>
        <v>0</v>
      </c>
      <c r="BG124" s="22">
        <f t="shared" si="83"/>
        <v>65651.270199687846</v>
      </c>
      <c r="BH124" s="22">
        <f t="shared" si="84"/>
        <v>65651.270199687846</v>
      </c>
      <c r="BI124" s="22">
        <f t="shared" si="85"/>
        <v>0</v>
      </c>
      <c r="BJ124" s="19" t="s">
        <v>624</v>
      </c>
      <c r="BK124" s="38" t="s">
        <v>625</v>
      </c>
      <c r="BL124" s="43">
        <f t="shared" si="86"/>
        <v>459558.89139781491</v>
      </c>
      <c r="BM124" s="39">
        <f t="shared" si="87"/>
        <v>410687.12367990613</v>
      </c>
    </row>
    <row r="125" spans="1:65" ht="34.5" customHeight="1">
      <c r="A125" s="10" t="s">
        <v>624</v>
      </c>
      <c r="B125" s="38" t="s">
        <v>625</v>
      </c>
      <c r="C125" s="66">
        <v>388</v>
      </c>
      <c r="D125" s="31" t="s">
        <v>647</v>
      </c>
      <c r="E125" s="41">
        <v>90885.347555343687</v>
      </c>
      <c r="F125" s="21">
        <f t="shared" si="91"/>
        <v>9088.5347555343687</v>
      </c>
      <c r="G125" s="21">
        <f t="shared" si="92"/>
        <v>1726.8216035515302</v>
      </c>
      <c r="H125" s="21">
        <f t="shared" si="93"/>
        <v>101700.70391442958</v>
      </c>
      <c r="J125" s="10">
        <f t="shared" si="60"/>
        <v>19</v>
      </c>
      <c r="K125" s="167">
        <v>6</v>
      </c>
      <c r="L125" s="167">
        <v>1</v>
      </c>
      <c r="M125" s="167"/>
      <c r="N125" s="167"/>
      <c r="O125" s="167">
        <v>1</v>
      </c>
      <c r="P125" s="167">
        <v>1</v>
      </c>
      <c r="Q125" s="167">
        <v>1</v>
      </c>
      <c r="R125" s="167">
        <v>2</v>
      </c>
      <c r="S125" s="167">
        <v>1</v>
      </c>
      <c r="T125" s="167">
        <v>2</v>
      </c>
      <c r="U125" s="167">
        <v>1</v>
      </c>
      <c r="V125" s="167">
        <v>1</v>
      </c>
      <c r="W125" s="167"/>
      <c r="X125" s="167"/>
      <c r="Y125" s="167"/>
      <c r="Z125" s="167">
        <v>1</v>
      </c>
      <c r="AA125" s="167">
        <v>1</v>
      </c>
      <c r="AB125" s="167"/>
      <c r="AC125" s="167"/>
      <c r="AD125" s="167"/>
      <c r="AE125" s="167"/>
      <c r="AF125" s="167"/>
      <c r="AG125" s="167"/>
      <c r="AH125" s="167"/>
      <c r="AI125" s="167"/>
      <c r="AK125" s="22">
        <f t="shared" si="61"/>
        <v>610204.22348657751</v>
      </c>
      <c r="AL125" s="22">
        <f t="shared" si="62"/>
        <v>101700.70391442958</v>
      </c>
      <c r="AM125" s="22">
        <f t="shared" si="63"/>
        <v>0</v>
      </c>
      <c r="AN125" s="22">
        <f t="shared" si="64"/>
        <v>0</v>
      </c>
      <c r="AO125" s="22">
        <f t="shared" si="65"/>
        <v>101700.70391442958</v>
      </c>
      <c r="AP125" s="22">
        <f t="shared" si="66"/>
        <v>101700.70391442958</v>
      </c>
      <c r="AQ125" s="22">
        <f t="shared" si="67"/>
        <v>101700.70391442958</v>
      </c>
      <c r="AR125" s="22">
        <f t="shared" si="68"/>
        <v>203401.40782885917</v>
      </c>
      <c r="AS125" s="22">
        <f t="shared" si="69"/>
        <v>101700.70391442958</v>
      </c>
      <c r="AT125" s="22">
        <f t="shared" si="70"/>
        <v>203401.40782885917</v>
      </c>
      <c r="AU125" s="22">
        <f t="shared" si="71"/>
        <v>101700.70391442958</v>
      </c>
      <c r="AV125" s="22">
        <f t="shared" si="72"/>
        <v>101700.70391442958</v>
      </c>
      <c r="AW125" s="22">
        <f t="shared" si="73"/>
        <v>0</v>
      </c>
      <c r="AX125" s="22">
        <f t="shared" si="74"/>
        <v>0</v>
      </c>
      <c r="AY125" s="22">
        <f t="shared" si="75"/>
        <v>0</v>
      </c>
      <c r="AZ125" s="22">
        <f t="shared" si="76"/>
        <v>101700.70391442958</v>
      </c>
      <c r="BA125" s="22">
        <f t="shared" si="77"/>
        <v>101700.70391442958</v>
      </c>
      <c r="BB125" s="22">
        <f t="shared" si="78"/>
        <v>0</v>
      </c>
      <c r="BC125" s="22">
        <f t="shared" si="79"/>
        <v>0</v>
      </c>
      <c r="BD125" s="22">
        <f t="shared" si="80"/>
        <v>0</v>
      </c>
      <c r="BE125" s="22">
        <f t="shared" si="81"/>
        <v>0</v>
      </c>
      <c r="BF125" s="22">
        <f t="shared" si="82"/>
        <v>0</v>
      </c>
      <c r="BG125" s="22">
        <f t="shared" si="83"/>
        <v>0</v>
      </c>
      <c r="BH125" s="22">
        <f t="shared" si="84"/>
        <v>0</v>
      </c>
      <c r="BI125" s="22">
        <f t="shared" si="85"/>
        <v>0</v>
      </c>
      <c r="BJ125" s="19" t="s">
        <v>624</v>
      </c>
      <c r="BK125" s="38" t="s">
        <v>625</v>
      </c>
      <c r="BL125" s="43">
        <f t="shared" si="86"/>
        <v>1932313.3743741622</v>
      </c>
      <c r="BM125" s="39">
        <f t="shared" si="87"/>
        <v>1726821.60355153</v>
      </c>
    </row>
    <row r="126" spans="1:65" ht="34.5" customHeight="1">
      <c r="A126" s="10" t="s">
        <v>624</v>
      </c>
      <c r="B126" s="38" t="s">
        <v>625</v>
      </c>
      <c r="C126" s="66">
        <v>390</v>
      </c>
      <c r="D126" s="31" t="s">
        <v>648</v>
      </c>
      <c r="E126" s="41">
        <v>51754.653307508881</v>
      </c>
      <c r="F126" s="21">
        <f t="shared" si="91"/>
        <v>5175.4653307508888</v>
      </c>
      <c r="G126" s="21">
        <f t="shared" si="92"/>
        <v>983.33841284266884</v>
      </c>
      <c r="H126" s="21">
        <f t="shared" si="93"/>
        <v>57913.457051102436</v>
      </c>
      <c r="J126" s="10">
        <f t="shared" si="60"/>
        <v>5</v>
      </c>
      <c r="K126" s="167">
        <v>1</v>
      </c>
      <c r="L126" s="167">
        <v>1</v>
      </c>
      <c r="M126" s="167"/>
      <c r="N126" s="167"/>
      <c r="O126" s="167"/>
      <c r="P126" s="167"/>
      <c r="Q126" s="167"/>
      <c r="R126" s="167"/>
      <c r="S126" s="167"/>
      <c r="T126" s="167"/>
      <c r="U126" s="167"/>
      <c r="V126" s="167"/>
      <c r="W126" s="167"/>
      <c r="X126" s="167"/>
      <c r="Y126" s="167"/>
      <c r="Z126" s="167"/>
      <c r="AA126" s="167"/>
      <c r="AB126" s="167">
        <v>1</v>
      </c>
      <c r="AC126" s="167">
        <v>1</v>
      </c>
      <c r="AD126" s="167"/>
      <c r="AE126" s="167"/>
      <c r="AF126" s="167"/>
      <c r="AG126" s="167"/>
      <c r="AH126" s="167"/>
      <c r="AI126" s="167">
        <v>1</v>
      </c>
      <c r="AK126" s="22">
        <f t="shared" si="61"/>
        <v>57913.457051102436</v>
      </c>
      <c r="AL126" s="22">
        <f t="shared" si="62"/>
        <v>57913.457051102436</v>
      </c>
      <c r="AM126" s="22">
        <f t="shared" si="63"/>
        <v>0</v>
      </c>
      <c r="AN126" s="22">
        <f t="shared" si="64"/>
        <v>0</v>
      </c>
      <c r="AO126" s="22">
        <f t="shared" si="65"/>
        <v>0</v>
      </c>
      <c r="AP126" s="22">
        <f t="shared" si="66"/>
        <v>0</v>
      </c>
      <c r="AQ126" s="22">
        <f t="shared" si="67"/>
        <v>0</v>
      </c>
      <c r="AR126" s="22">
        <f t="shared" si="68"/>
        <v>0</v>
      </c>
      <c r="AS126" s="22">
        <f t="shared" si="69"/>
        <v>0</v>
      </c>
      <c r="AT126" s="22">
        <f t="shared" si="70"/>
        <v>0</v>
      </c>
      <c r="AU126" s="22">
        <f t="shared" si="71"/>
        <v>0</v>
      </c>
      <c r="AV126" s="22">
        <f t="shared" si="72"/>
        <v>0</v>
      </c>
      <c r="AW126" s="22">
        <f t="shared" si="73"/>
        <v>0</v>
      </c>
      <c r="AX126" s="22">
        <f t="shared" si="74"/>
        <v>0</v>
      </c>
      <c r="AY126" s="22">
        <f t="shared" si="75"/>
        <v>0</v>
      </c>
      <c r="AZ126" s="22">
        <f t="shared" si="76"/>
        <v>0</v>
      </c>
      <c r="BA126" s="22">
        <f t="shared" si="77"/>
        <v>0</v>
      </c>
      <c r="BB126" s="22">
        <f t="shared" si="78"/>
        <v>57913.457051102436</v>
      </c>
      <c r="BC126" s="22">
        <f t="shared" si="79"/>
        <v>57913.457051102436</v>
      </c>
      <c r="BD126" s="22">
        <f t="shared" si="80"/>
        <v>0</v>
      </c>
      <c r="BE126" s="22">
        <f t="shared" si="81"/>
        <v>0</v>
      </c>
      <c r="BF126" s="22">
        <f t="shared" si="82"/>
        <v>0</v>
      </c>
      <c r="BG126" s="22">
        <f t="shared" si="83"/>
        <v>0</v>
      </c>
      <c r="BH126" s="22">
        <f t="shared" si="84"/>
        <v>0</v>
      </c>
      <c r="BI126" s="22">
        <f t="shared" si="85"/>
        <v>57913.457051102436</v>
      </c>
      <c r="BJ126" s="19" t="s">
        <v>624</v>
      </c>
      <c r="BK126" s="38" t="s">
        <v>625</v>
      </c>
      <c r="BL126" s="43">
        <f t="shared" si="86"/>
        <v>289567.28525551216</v>
      </c>
      <c r="BM126" s="39">
        <f t="shared" si="87"/>
        <v>258773.2665375444</v>
      </c>
    </row>
    <row r="127" spans="1:65" ht="34.5" customHeight="1">
      <c r="A127" s="10" t="s">
        <v>624</v>
      </c>
      <c r="B127" s="38" t="s">
        <v>625</v>
      </c>
      <c r="C127" s="66">
        <v>394</v>
      </c>
      <c r="D127" s="31" t="s">
        <v>649</v>
      </c>
      <c r="E127" s="41">
        <v>67888.206803161622</v>
      </c>
      <c r="F127" s="21">
        <f t="shared" si="91"/>
        <v>6788.8206803161629</v>
      </c>
      <c r="G127" s="21">
        <f t="shared" si="92"/>
        <v>1289.875929260071</v>
      </c>
      <c r="H127" s="21">
        <f t="shared" si="93"/>
        <v>75966.903412737855</v>
      </c>
      <c r="J127" s="10">
        <f t="shared" si="60"/>
        <v>6</v>
      </c>
      <c r="K127" s="167">
        <v>6</v>
      </c>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K127" s="22">
        <f t="shared" si="61"/>
        <v>455801.42047642713</v>
      </c>
      <c r="AL127" s="22">
        <f t="shared" si="62"/>
        <v>0</v>
      </c>
      <c r="AM127" s="22">
        <f t="shared" si="63"/>
        <v>0</v>
      </c>
      <c r="AN127" s="22">
        <f t="shared" si="64"/>
        <v>0</v>
      </c>
      <c r="AO127" s="22">
        <f t="shared" si="65"/>
        <v>0</v>
      </c>
      <c r="AP127" s="22">
        <f t="shared" si="66"/>
        <v>0</v>
      </c>
      <c r="AQ127" s="22">
        <f t="shared" si="67"/>
        <v>0</v>
      </c>
      <c r="AR127" s="22">
        <f t="shared" si="68"/>
        <v>0</v>
      </c>
      <c r="AS127" s="22">
        <f t="shared" si="69"/>
        <v>0</v>
      </c>
      <c r="AT127" s="22">
        <f t="shared" si="70"/>
        <v>0</v>
      </c>
      <c r="AU127" s="22">
        <f t="shared" si="71"/>
        <v>0</v>
      </c>
      <c r="AV127" s="22">
        <f t="shared" si="72"/>
        <v>0</v>
      </c>
      <c r="AW127" s="22">
        <f t="shared" si="73"/>
        <v>0</v>
      </c>
      <c r="AX127" s="22">
        <f t="shared" si="74"/>
        <v>0</v>
      </c>
      <c r="AY127" s="22">
        <f t="shared" si="75"/>
        <v>0</v>
      </c>
      <c r="AZ127" s="22">
        <f t="shared" si="76"/>
        <v>0</v>
      </c>
      <c r="BA127" s="22">
        <f t="shared" si="77"/>
        <v>0</v>
      </c>
      <c r="BB127" s="22">
        <f t="shared" si="78"/>
        <v>0</v>
      </c>
      <c r="BC127" s="22">
        <f t="shared" si="79"/>
        <v>0</v>
      </c>
      <c r="BD127" s="22">
        <f t="shared" si="80"/>
        <v>0</v>
      </c>
      <c r="BE127" s="22">
        <f t="shared" si="81"/>
        <v>0</v>
      </c>
      <c r="BF127" s="22">
        <f t="shared" si="82"/>
        <v>0</v>
      </c>
      <c r="BG127" s="22">
        <f t="shared" si="83"/>
        <v>0</v>
      </c>
      <c r="BH127" s="22">
        <f t="shared" si="84"/>
        <v>0</v>
      </c>
      <c r="BI127" s="22">
        <f t="shared" si="85"/>
        <v>0</v>
      </c>
      <c r="BJ127" s="19" t="s">
        <v>624</v>
      </c>
      <c r="BK127" s="38" t="s">
        <v>625</v>
      </c>
      <c r="BL127" s="43">
        <f t="shared" si="86"/>
        <v>455801.42047642713</v>
      </c>
      <c r="BM127" s="39">
        <f t="shared" si="87"/>
        <v>407329.24081896973</v>
      </c>
    </row>
    <row r="128" spans="1:65" ht="44.25" customHeight="1">
      <c r="A128" s="36" t="s">
        <v>605</v>
      </c>
      <c r="B128" s="20" t="s">
        <v>606</v>
      </c>
      <c r="C128" s="66">
        <v>396</v>
      </c>
      <c r="D128" s="31" t="s">
        <v>650</v>
      </c>
      <c r="E128" s="41">
        <v>33069.700123683135</v>
      </c>
      <c r="F128" s="21">
        <f t="shared" si="91"/>
        <v>3306.9700123683137</v>
      </c>
      <c r="G128" s="21">
        <f t="shared" si="92"/>
        <v>628.32430234997958</v>
      </c>
      <c r="H128" s="21">
        <f t="shared" si="93"/>
        <v>37004.994438401431</v>
      </c>
      <c r="J128" s="10">
        <f t="shared" si="60"/>
        <v>2</v>
      </c>
      <c r="K128" s="167">
        <v>1</v>
      </c>
      <c r="L128" s="167"/>
      <c r="M128" s="167">
        <v>1</v>
      </c>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K128" s="22">
        <f t="shared" si="61"/>
        <v>37004.994438401431</v>
      </c>
      <c r="AL128" s="22">
        <f t="shared" si="62"/>
        <v>0</v>
      </c>
      <c r="AM128" s="22">
        <f t="shared" si="63"/>
        <v>37004.994438401431</v>
      </c>
      <c r="AN128" s="22">
        <f t="shared" si="64"/>
        <v>0</v>
      </c>
      <c r="AO128" s="22">
        <f t="shared" si="65"/>
        <v>0</v>
      </c>
      <c r="AP128" s="22">
        <f t="shared" si="66"/>
        <v>0</v>
      </c>
      <c r="AQ128" s="22">
        <f t="shared" si="67"/>
        <v>0</v>
      </c>
      <c r="AR128" s="22">
        <f t="shared" si="68"/>
        <v>0</v>
      </c>
      <c r="AS128" s="22">
        <f t="shared" si="69"/>
        <v>0</v>
      </c>
      <c r="AT128" s="22">
        <f t="shared" si="70"/>
        <v>0</v>
      </c>
      <c r="AU128" s="22">
        <f t="shared" si="71"/>
        <v>0</v>
      </c>
      <c r="AV128" s="22">
        <f t="shared" si="72"/>
        <v>0</v>
      </c>
      <c r="AW128" s="22">
        <f t="shared" si="73"/>
        <v>0</v>
      </c>
      <c r="AX128" s="22">
        <f t="shared" si="74"/>
        <v>0</v>
      </c>
      <c r="AY128" s="22">
        <f t="shared" si="75"/>
        <v>0</v>
      </c>
      <c r="AZ128" s="22">
        <f t="shared" si="76"/>
        <v>0</v>
      </c>
      <c r="BA128" s="22">
        <f t="shared" si="77"/>
        <v>0</v>
      </c>
      <c r="BB128" s="22">
        <f t="shared" si="78"/>
        <v>0</v>
      </c>
      <c r="BC128" s="22">
        <f t="shared" si="79"/>
        <v>0</v>
      </c>
      <c r="BD128" s="22">
        <f t="shared" si="80"/>
        <v>0</v>
      </c>
      <c r="BE128" s="22">
        <f t="shared" si="81"/>
        <v>0</v>
      </c>
      <c r="BF128" s="22">
        <f t="shared" si="82"/>
        <v>0</v>
      </c>
      <c r="BG128" s="22">
        <f t="shared" si="83"/>
        <v>0</v>
      </c>
      <c r="BH128" s="22">
        <f t="shared" si="84"/>
        <v>0</v>
      </c>
      <c r="BI128" s="22">
        <f t="shared" si="85"/>
        <v>0</v>
      </c>
      <c r="BJ128" s="37" t="s">
        <v>605</v>
      </c>
      <c r="BK128" s="20" t="s">
        <v>606</v>
      </c>
      <c r="BL128" s="43">
        <f t="shared" si="86"/>
        <v>74009.988876802861</v>
      </c>
      <c r="BM128" s="39">
        <f t="shared" si="87"/>
        <v>66139.400247366269</v>
      </c>
    </row>
    <row r="129" spans="1:65" ht="34.5" customHeight="1">
      <c r="A129" s="36" t="s">
        <v>605</v>
      </c>
      <c r="B129" s="20" t="s">
        <v>606</v>
      </c>
      <c r="C129" s="66">
        <v>398</v>
      </c>
      <c r="D129" s="31" t="s">
        <v>651</v>
      </c>
      <c r="E129" s="41">
        <v>3841.4926816865973</v>
      </c>
      <c r="F129" s="21">
        <f t="shared" si="91"/>
        <v>384.14926816865977</v>
      </c>
      <c r="G129" s="21">
        <f t="shared" si="92"/>
        <v>72.988360952045355</v>
      </c>
      <c r="H129" s="21">
        <f t="shared" si="93"/>
        <v>4298.6303108073025</v>
      </c>
      <c r="J129" s="10">
        <f t="shared" si="60"/>
        <v>3</v>
      </c>
      <c r="K129" s="167">
        <v>3</v>
      </c>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K129" s="22">
        <f t="shared" si="61"/>
        <v>12895.890932421908</v>
      </c>
      <c r="AL129" s="22">
        <f t="shared" si="62"/>
        <v>0</v>
      </c>
      <c r="AM129" s="22">
        <f t="shared" si="63"/>
        <v>0</v>
      </c>
      <c r="AN129" s="22">
        <f t="shared" si="64"/>
        <v>0</v>
      </c>
      <c r="AO129" s="22">
        <f t="shared" si="65"/>
        <v>0</v>
      </c>
      <c r="AP129" s="22">
        <f t="shared" si="66"/>
        <v>0</v>
      </c>
      <c r="AQ129" s="22">
        <f t="shared" si="67"/>
        <v>0</v>
      </c>
      <c r="AR129" s="22">
        <f t="shared" si="68"/>
        <v>0</v>
      </c>
      <c r="AS129" s="22">
        <f t="shared" si="69"/>
        <v>0</v>
      </c>
      <c r="AT129" s="22">
        <f t="shared" si="70"/>
        <v>0</v>
      </c>
      <c r="AU129" s="22">
        <f t="shared" si="71"/>
        <v>0</v>
      </c>
      <c r="AV129" s="22">
        <f t="shared" si="72"/>
        <v>0</v>
      </c>
      <c r="AW129" s="22">
        <f t="shared" si="73"/>
        <v>0</v>
      </c>
      <c r="AX129" s="22">
        <f t="shared" si="74"/>
        <v>0</v>
      </c>
      <c r="AY129" s="22">
        <f t="shared" si="75"/>
        <v>0</v>
      </c>
      <c r="AZ129" s="22">
        <f t="shared" si="76"/>
        <v>0</v>
      </c>
      <c r="BA129" s="22">
        <f t="shared" si="77"/>
        <v>0</v>
      </c>
      <c r="BB129" s="22">
        <f t="shared" si="78"/>
        <v>0</v>
      </c>
      <c r="BC129" s="22">
        <f t="shared" si="79"/>
        <v>0</v>
      </c>
      <c r="BD129" s="22">
        <f t="shared" si="80"/>
        <v>0</v>
      </c>
      <c r="BE129" s="22">
        <f t="shared" si="81"/>
        <v>0</v>
      </c>
      <c r="BF129" s="22">
        <f t="shared" si="82"/>
        <v>0</v>
      </c>
      <c r="BG129" s="22">
        <f t="shared" si="83"/>
        <v>0</v>
      </c>
      <c r="BH129" s="22">
        <f t="shared" si="84"/>
        <v>0</v>
      </c>
      <c r="BI129" s="22">
        <f t="shared" si="85"/>
        <v>0</v>
      </c>
      <c r="BJ129" s="37" t="s">
        <v>605</v>
      </c>
      <c r="BK129" s="20" t="s">
        <v>606</v>
      </c>
      <c r="BL129" s="43">
        <f t="shared" si="86"/>
        <v>12895.890932421908</v>
      </c>
      <c r="BM129" s="39">
        <f t="shared" si="87"/>
        <v>11524.478045059792</v>
      </c>
    </row>
    <row r="130" spans="1:65" ht="34.5" customHeight="1">
      <c r="A130" s="36" t="s">
        <v>605</v>
      </c>
      <c r="B130" s="20" t="s">
        <v>606</v>
      </c>
      <c r="C130" s="66">
        <v>404</v>
      </c>
      <c r="D130" s="31" t="s">
        <v>652</v>
      </c>
      <c r="E130" s="41">
        <v>37480.487249015656</v>
      </c>
      <c r="F130" s="21">
        <f t="shared" si="91"/>
        <v>3748.0487249015659</v>
      </c>
      <c r="G130" s="21">
        <f t="shared" si="92"/>
        <v>712.12925773129757</v>
      </c>
      <c r="H130" s="21">
        <f t="shared" si="93"/>
        <v>41940.66523164852</v>
      </c>
      <c r="J130" s="10">
        <f t="shared" ref="J130" si="94">SUM(K130:AI130)</f>
        <v>3</v>
      </c>
      <c r="K130" s="167">
        <v>1</v>
      </c>
      <c r="L130" s="167">
        <v>1</v>
      </c>
      <c r="M130" s="167">
        <v>1</v>
      </c>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K130" s="22">
        <f t="shared" si="61"/>
        <v>41940.66523164852</v>
      </c>
      <c r="AL130" s="22">
        <f t="shared" si="62"/>
        <v>41940.66523164852</v>
      </c>
      <c r="AM130" s="22">
        <f t="shared" si="63"/>
        <v>41940.66523164852</v>
      </c>
      <c r="AN130" s="22">
        <f t="shared" si="64"/>
        <v>0</v>
      </c>
      <c r="AO130" s="22">
        <f t="shared" si="65"/>
        <v>0</v>
      </c>
      <c r="AP130" s="22">
        <f t="shared" si="66"/>
        <v>0</v>
      </c>
      <c r="AQ130" s="22">
        <f t="shared" si="67"/>
        <v>0</v>
      </c>
      <c r="AR130" s="22">
        <f t="shared" si="68"/>
        <v>0</v>
      </c>
      <c r="AS130" s="22">
        <f t="shared" si="69"/>
        <v>0</v>
      </c>
      <c r="AT130" s="22">
        <f t="shared" si="70"/>
        <v>0</v>
      </c>
      <c r="AU130" s="22">
        <f t="shared" si="71"/>
        <v>0</v>
      </c>
      <c r="AV130" s="22">
        <f t="shared" si="72"/>
        <v>0</v>
      </c>
      <c r="AW130" s="22">
        <f t="shared" si="73"/>
        <v>0</v>
      </c>
      <c r="AX130" s="22">
        <f t="shared" si="74"/>
        <v>0</v>
      </c>
      <c r="AY130" s="22">
        <f t="shared" si="75"/>
        <v>0</v>
      </c>
      <c r="AZ130" s="22">
        <f t="shared" si="76"/>
        <v>0</v>
      </c>
      <c r="BA130" s="22">
        <f t="shared" si="77"/>
        <v>0</v>
      </c>
      <c r="BB130" s="22">
        <f t="shared" si="78"/>
        <v>0</v>
      </c>
      <c r="BC130" s="22">
        <f t="shared" si="79"/>
        <v>0</v>
      </c>
      <c r="BD130" s="22">
        <f t="shared" si="80"/>
        <v>0</v>
      </c>
      <c r="BE130" s="22">
        <f t="shared" si="81"/>
        <v>0</v>
      </c>
      <c r="BF130" s="22">
        <f t="shared" si="82"/>
        <v>0</v>
      </c>
      <c r="BG130" s="22">
        <f t="shared" si="83"/>
        <v>0</v>
      </c>
      <c r="BH130" s="22">
        <f t="shared" si="84"/>
        <v>0</v>
      </c>
      <c r="BI130" s="22">
        <f t="shared" si="85"/>
        <v>0</v>
      </c>
      <c r="BJ130" s="37" t="s">
        <v>605</v>
      </c>
      <c r="BK130" s="20" t="s">
        <v>606</v>
      </c>
      <c r="BL130" s="43">
        <f>+H130*J130</f>
        <v>125821.99569494557</v>
      </c>
      <c r="BM130" s="39">
        <f>+E130*J130</f>
        <v>112441.46174704697</v>
      </c>
    </row>
    <row r="131" spans="1:65">
      <c r="AK131" s="22">
        <f t="shared" ref="AK131:BI131" si="95">SUBTOTAL(9,AK2:AK130)</f>
        <v>23047022.813643716</v>
      </c>
      <c r="AL131" s="22">
        <f t="shared" si="95"/>
        <v>2728316.3361640908</v>
      </c>
      <c r="AM131" s="22">
        <f t="shared" si="95"/>
        <v>1652903.8027913962</v>
      </c>
      <c r="AN131" s="22">
        <f t="shared" si="95"/>
        <v>203388.46504208946</v>
      </c>
      <c r="AO131" s="22">
        <f t="shared" si="95"/>
        <v>5563346.5923247691</v>
      </c>
      <c r="AP131" s="22">
        <f t="shared" si="95"/>
        <v>866234.76016292418</v>
      </c>
      <c r="AQ131" s="22">
        <f t="shared" si="95"/>
        <v>2346020.9497629246</v>
      </c>
      <c r="AR131" s="22">
        <f t="shared" si="95"/>
        <v>816247.40487735381</v>
      </c>
      <c r="AS131" s="22">
        <f t="shared" si="95"/>
        <v>3068082.2312529241</v>
      </c>
      <c r="AT131" s="22">
        <f t="shared" si="95"/>
        <v>2329407.3495943248</v>
      </c>
      <c r="AU131" s="22">
        <f t="shared" si="95"/>
        <v>2885060.8839868819</v>
      </c>
      <c r="AV131" s="22">
        <f t="shared" si="95"/>
        <v>1470925.9766262181</v>
      </c>
      <c r="AW131" s="22">
        <f t="shared" si="95"/>
        <v>702651.81642342627</v>
      </c>
      <c r="AX131" s="22">
        <f t="shared" si="95"/>
        <v>1209653.014127678</v>
      </c>
      <c r="AY131" s="22">
        <f t="shared" si="95"/>
        <v>1632396.6204939368</v>
      </c>
      <c r="AZ131" s="22">
        <f t="shared" si="95"/>
        <v>3270421.7192424191</v>
      </c>
      <c r="BA131" s="22">
        <f t="shared" si="95"/>
        <v>1758906.8662381682</v>
      </c>
      <c r="BB131" s="22">
        <f t="shared" si="95"/>
        <v>2499656.3338438296</v>
      </c>
      <c r="BC131" s="22">
        <f t="shared" si="95"/>
        <v>931422.96484503907</v>
      </c>
      <c r="BD131" s="22">
        <f t="shared" si="95"/>
        <v>1716080.1476918911</v>
      </c>
      <c r="BE131" s="22">
        <f t="shared" si="95"/>
        <v>1141844.6771898177</v>
      </c>
      <c r="BF131" s="22">
        <f t="shared" si="95"/>
        <v>671158.94705181778</v>
      </c>
      <c r="BG131" s="22">
        <f t="shared" si="95"/>
        <v>1513311.8811634267</v>
      </c>
      <c r="BH131" s="22">
        <f t="shared" si="95"/>
        <v>1473248.3905214262</v>
      </c>
      <c r="BI131" s="22">
        <f t="shared" si="95"/>
        <v>1931260.9054985819</v>
      </c>
      <c r="BL131" s="44">
        <f>SUM(BL2:BL130)</f>
        <v>67428971.850561097</v>
      </c>
      <c r="BM131" s="44">
        <f>SUM(BM2:BM130)</f>
        <v>60258241.153316446</v>
      </c>
    </row>
    <row r="132" spans="1:65">
      <c r="BI132" s="44">
        <f>+SUM(AK131:BI131)</f>
        <v>67428971.850561067</v>
      </c>
    </row>
    <row r="134" spans="1:65">
      <c r="L134" s="44"/>
    </row>
    <row r="136" spans="1:65">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44"/>
    </row>
    <row r="137" spans="1:65">
      <c r="BM137" s="44"/>
    </row>
  </sheetData>
  <autoFilter ref="A1:BL130"/>
  <sortState ref="A2:BL255">
    <sortCondition ref="A2:A255"/>
  </sortState>
  <conditionalFormatting sqref="F2:H130 E56:E66 E114:E120 E122:E130">
    <cfRule type="expression" dxfId="204" priority="3">
      <formula>ISERROR($I2)</formula>
    </cfRule>
  </conditionalFormatting>
  <dataValidations disablePrompts="1" count="1">
    <dataValidation operator="lessThan" allowBlank="1" showErrorMessage="1" errorTitle="Error" error="El valor es menor que el minimo permitido" sqref="E56:H66 E114:H120 E122:H130 F121:H121 F67:H113 F2:H55"/>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9"/>
  <sheetViews>
    <sheetView workbookViewId="0">
      <pane ySplit="1" topLeftCell="A2" activePane="bottomLeft" state="frozen"/>
      <selection pane="bottomLeft" activeCell="B2" sqref="B2"/>
    </sheetView>
  </sheetViews>
  <sheetFormatPr baseColWidth="10" defaultColWidth="11" defaultRowHeight="11.25"/>
  <cols>
    <col min="1" max="1" width="61.875" style="76" customWidth="1"/>
    <col min="2" max="2" width="14.875" style="78" customWidth="1"/>
    <col min="3" max="3" width="15.375" style="78" customWidth="1"/>
    <col min="4" max="4" width="15.125" style="78" customWidth="1"/>
    <col min="5" max="5" width="12.5" style="78" customWidth="1"/>
    <col min="6" max="6" width="12" style="78" customWidth="1"/>
    <col min="7" max="7" width="16.375" style="78" customWidth="1"/>
    <col min="8" max="8" width="12.875" style="78" customWidth="1"/>
    <col min="9" max="9" width="13.625" style="78" customWidth="1"/>
    <col min="10" max="10" width="12.625" style="78" customWidth="1"/>
    <col min="11" max="11" width="15.375" style="78" customWidth="1"/>
    <col min="12" max="12" width="12.75" style="78" customWidth="1"/>
    <col min="13" max="13" width="13.25" style="78" customWidth="1"/>
    <col min="14" max="14" width="12.75" style="78" customWidth="1"/>
    <col min="15" max="15" width="13.625" style="78" customWidth="1"/>
    <col min="16" max="16" width="12.75" style="78" customWidth="1"/>
    <col min="17" max="17" width="16.125" style="78" customWidth="1"/>
    <col min="18" max="18" width="13.25" style="78" customWidth="1"/>
    <col min="19" max="19" width="16.75" style="78" customWidth="1"/>
    <col min="20" max="22" width="16.625" style="78" customWidth="1"/>
    <col min="23" max="23" width="16.75" style="78" customWidth="1"/>
    <col min="24" max="25" width="16.625" style="78" customWidth="1"/>
    <col min="26" max="26" width="12.75" style="78" customWidth="1"/>
    <col min="27" max="27" width="40" style="79" customWidth="1"/>
    <col min="28" max="28" width="37.125" style="79" bestFit="1" customWidth="1"/>
    <col min="29" max="29" width="31.625" style="79" bestFit="1" customWidth="1"/>
    <col min="30" max="30" width="28.75" style="79" bestFit="1" customWidth="1"/>
    <col min="31" max="31" width="52.125" style="79" bestFit="1" customWidth="1"/>
    <col min="32" max="32" width="32.125" style="79" bestFit="1" customWidth="1"/>
    <col min="33" max="33" width="50.75" style="79" bestFit="1" customWidth="1"/>
    <col min="34" max="34" width="30.875" style="79" bestFit="1" customWidth="1"/>
    <col min="35" max="35" width="85.375" style="79" bestFit="1" customWidth="1"/>
    <col min="36" max="36" width="82.375" style="79" bestFit="1" customWidth="1"/>
    <col min="37" max="37" width="24.375" style="79" bestFit="1" customWidth="1"/>
    <col min="38" max="38" width="12.625" style="79" bestFit="1" customWidth="1"/>
    <col min="39" max="39" width="15.375" style="79" bestFit="1" customWidth="1"/>
    <col min="40" max="40" width="22.625" style="79" bestFit="1" customWidth="1"/>
    <col min="41" max="41" width="22.875" style="76" bestFit="1" customWidth="1"/>
    <col min="42" max="42" width="22.125" style="76" bestFit="1" customWidth="1"/>
    <col min="43" max="43" width="21.75" style="76" bestFit="1" customWidth="1"/>
    <col min="44" max="44" width="12.625" style="76" bestFit="1" customWidth="1"/>
    <col min="45" max="50" width="10.125" style="76" bestFit="1" customWidth="1"/>
    <col min="51" max="82" width="11.125" style="76" bestFit="1" customWidth="1"/>
    <col min="83" max="86" width="12.625" style="76" bestFit="1" customWidth="1"/>
    <col min="87" max="87" width="13.875" style="76" bestFit="1" customWidth="1"/>
    <col min="88" max="16384" width="11" style="76"/>
  </cols>
  <sheetData>
    <row r="1" spans="1:41" ht="45">
      <c r="B1" s="69" t="s">
        <v>653</v>
      </c>
      <c r="C1" s="69" t="s">
        <v>654</v>
      </c>
      <c r="D1" s="69" t="s">
        <v>655</v>
      </c>
      <c r="E1" s="69" t="s">
        <v>656</v>
      </c>
      <c r="F1" s="69" t="s">
        <v>657</v>
      </c>
      <c r="G1" s="69" t="s">
        <v>658</v>
      </c>
      <c r="H1" s="69" t="s">
        <v>659</v>
      </c>
      <c r="I1" s="69" t="s">
        <v>660</v>
      </c>
      <c r="J1" s="69" t="s">
        <v>661</v>
      </c>
      <c r="K1" s="69" t="s">
        <v>662</v>
      </c>
      <c r="L1" s="69" t="s">
        <v>663</v>
      </c>
      <c r="M1" s="69" t="s">
        <v>664</v>
      </c>
      <c r="N1" s="69" t="s">
        <v>665</v>
      </c>
      <c r="O1" s="69" t="s">
        <v>666</v>
      </c>
      <c r="P1" s="69" t="s">
        <v>667</v>
      </c>
      <c r="Q1" s="69" t="s">
        <v>668</v>
      </c>
      <c r="R1" s="69" t="s">
        <v>669</v>
      </c>
      <c r="S1" s="69" t="s">
        <v>670</v>
      </c>
      <c r="T1" s="69" t="s">
        <v>671</v>
      </c>
      <c r="U1" s="69" t="s">
        <v>672</v>
      </c>
      <c r="V1" s="69" t="s">
        <v>673</v>
      </c>
      <c r="W1" s="69" t="s">
        <v>674</v>
      </c>
      <c r="X1" s="69" t="s">
        <v>675</v>
      </c>
      <c r="Y1" s="69" t="s">
        <v>676</v>
      </c>
      <c r="Z1" s="69" t="s">
        <v>677</v>
      </c>
    </row>
    <row r="2" spans="1:41">
      <c r="A2" s="19" t="s">
        <v>725</v>
      </c>
      <c r="B2" s="81">
        <f>+PERSONAL!V217</f>
        <v>135484595.667</v>
      </c>
      <c r="C2" s="81">
        <f>+PERSONAL!V218</f>
        <v>41981142.539999999</v>
      </c>
      <c r="D2" s="81">
        <f>+PERSONAL!V219</f>
        <v>14216341.095000001</v>
      </c>
      <c r="E2" s="81">
        <f>+PERSONAL!V220</f>
        <v>5724701.0520000001</v>
      </c>
      <c r="F2" s="81">
        <f>+PERSONAL!V221</f>
        <v>33966560.171999998</v>
      </c>
      <c r="G2" s="81">
        <f>+PERSONAL!V222</f>
        <v>27287741.532000002</v>
      </c>
      <c r="H2" s="81">
        <f>+PERSONAL!V223</f>
        <v>22707981.138</v>
      </c>
      <c r="I2" s="81">
        <f>+PERSONAL!V224</f>
        <v>14311752.630000001</v>
      </c>
      <c r="J2" s="81">
        <f>+PERSONAL!V225</f>
        <v>22898804.208000001</v>
      </c>
      <c r="K2" s="81">
        <f>+PERSONAL!V226</f>
        <v>31295032.715999998</v>
      </c>
      <c r="L2" s="81">
        <f>+PERSONAL!V227</f>
        <v>31485855.785999998</v>
      </c>
      <c r="M2" s="81">
        <f>+PERSONAL!V228</f>
        <v>5724701.0520000001</v>
      </c>
      <c r="N2" s="81">
        <f>+PERSONAL!V229</f>
        <v>5724701.0520000001</v>
      </c>
      <c r="O2" s="81">
        <f>+PERSONAL!V230</f>
        <v>8587052.6970000006</v>
      </c>
      <c r="P2" s="81">
        <f>+PERSONAL!V231</f>
        <v>8587051.5779999997</v>
      </c>
      <c r="Q2" s="81">
        <f>+PERSONAL!V232</f>
        <v>16887868.550999999</v>
      </c>
      <c r="R2" s="81">
        <f>+PERSONAL!V233</f>
        <v>2862350.5260000001</v>
      </c>
      <c r="S2" s="81">
        <f>+PERSONAL!V234</f>
        <v>21753864.669</v>
      </c>
      <c r="T2" s="81">
        <f>+PERSONAL!V235</f>
        <v>16792457.015999999</v>
      </c>
      <c r="U2" s="81">
        <f>+PERSONAL!V236</f>
        <v>11353990.569</v>
      </c>
      <c r="V2" s="81">
        <f>+PERSONAL!V237</f>
        <v>8587051.5779999997</v>
      </c>
      <c r="W2" s="81">
        <f>+PERSONAL!V238</f>
        <v>5724701.0520000001</v>
      </c>
      <c r="X2" s="81">
        <f>+PERSONAL!V239</f>
        <v>11258579.034</v>
      </c>
      <c r="Y2" s="81">
        <f>+PERSONAL!V240</f>
        <v>5724701.0520000001</v>
      </c>
      <c r="Z2" s="80">
        <f>+PERSONAL!V241</f>
        <v>5724701.0520000001</v>
      </c>
      <c r="AN2" s="76"/>
    </row>
    <row r="3" spans="1:41">
      <c r="B3" s="77"/>
      <c r="AA3" s="78"/>
      <c r="AO3" s="79"/>
    </row>
    <row r="4" spans="1:41" s="79" customFormat="1" ht="45">
      <c r="A4" s="262" t="s">
        <v>698</v>
      </c>
      <c r="B4" s="261" t="s">
        <v>700</v>
      </c>
      <c r="C4" s="261" t="s">
        <v>701</v>
      </c>
      <c r="D4" s="261" t="s">
        <v>702</v>
      </c>
      <c r="E4" s="261" t="s">
        <v>703</v>
      </c>
      <c r="F4" s="261" t="s">
        <v>704</v>
      </c>
      <c r="G4" s="261" t="s">
        <v>705</v>
      </c>
      <c r="H4" s="261" t="s">
        <v>706</v>
      </c>
      <c r="I4" s="261" t="s">
        <v>707</v>
      </c>
      <c r="J4" s="261" t="s">
        <v>708</v>
      </c>
      <c r="K4" s="261" t="s">
        <v>709</v>
      </c>
      <c r="L4" s="261" t="s">
        <v>710</v>
      </c>
      <c r="M4" s="261" t="s">
        <v>711</v>
      </c>
      <c r="N4" s="261" t="s">
        <v>712</v>
      </c>
      <c r="O4" s="261" t="s">
        <v>713</v>
      </c>
      <c r="P4" s="261" t="s">
        <v>714</v>
      </c>
      <c r="Q4" s="261" t="s">
        <v>715</v>
      </c>
      <c r="R4" s="261" t="s">
        <v>716</v>
      </c>
      <c r="S4" s="261" t="s">
        <v>717</v>
      </c>
      <c r="T4" s="261" t="s">
        <v>718</v>
      </c>
      <c r="U4" s="261" t="s">
        <v>719</v>
      </c>
      <c r="V4" s="261" t="s">
        <v>720</v>
      </c>
      <c r="W4" s="261" t="s">
        <v>721</v>
      </c>
      <c r="X4" s="261" t="s">
        <v>722</v>
      </c>
      <c r="Y4" s="261" t="s">
        <v>723</v>
      </c>
      <c r="Z4" s="261" t="s">
        <v>724</v>
      </c>
    </row>
    <row r="5" spans="1:41" s="79" customFormat="1">
      <c r="A5" s="263" t="s">
        <v>583</v>
      </c>
      <c r="B5" s="264">
        <v>538317.66570000001</v>
      </c>
      <c r="C5" s="264">
        <v>178018.353</v>
      </c>
      <c r="D5" s="264">
        <v>178018.353</v>
      </c>
      <c r="E5" s="264">
        <v>0</v>
      </c>
      <c r="F5" s="264">
        <v>284829.36479999998</v>
      </c>
      <c r="G5" s="264">
        <v>0</v>
      </c>
      <c r="H5" s="264">
        <v>172948.16399999999</v>
      </c>
      <c r="I5" s="264">
        <v>0</v>
      </c>
      <c r="J5" s="264">
        <v>178018.353</v>
      </c>
      <c r="K5" s="264">
        <v>296697.255</v>
      </c>
      <c r="L5" s="264">
        <v>356036.70600000001</v>
      </c>
      <c r="M5" s="264">
        <v>0</v>
      </c>
      <c r="N5" s="264">
        <v>21200.685899999997</v>
      </c>
      <c r="O5" s="264">
        <v>59339.451000000001</v>
      </c>
      <c r="P5" s="264">
        <v>59339.451000000001</v>
      </c>
      <c r="Q5" s="264">
        <v>178018.353</v>
      </c>
      <c r="R5" s="264">
        <v>21200.685899999997</v>
      </c>
      <c r="S5" s="264">
        <v>59339.451000000001</v>
      </c>
      <c r="T5" s="264">
        <v>0</v>
      </c>
      <c r="U5" s="264">
        <v>0</v>
      </c>
      <c r="V5" s="264">
        <v>41537.615700000002</v>
      </c>
      <c r="W5" s="264">
        <v>23735.7804</v>
      </c>
      <c r="X5" s="264">
        <v>178018.353</v>
      </c>
      <c r="Y5" s="264">
        <v>23735.7804</v>
      </c>
      <c r="Z5" s="264">
        <v>29669.7255</v>
      </c>
    </row>
    <row r="6" spans="1:41" s="79" customFormat="1">
      <c r="A6" s="265" t="s">
        <v>584</v>
      </c>
      <c r="B6" s="264">
        <v>538317.66570000001</v>
      </c>
      <c r="C6" s="264">
        <v>178018.353</v>
      </c>
      <c r="D6" s="264">
        <v>178018.353</v>
      </c>
      <c r="E6" s="264">
        <v>0</v>
      </c>
      <c r="F6" s="264">
        <v>284829.36479999998</v>
      </c>
      <c r="G6" s="264">
        <v>0</v>
      </c>
      <c r="H6" s="264">
        <v>172948.16399999999</v>
      </c>
      <c r="I6" s="264">
        <v>0</v>
      </c>
      <c r="J6" s="264">
        <v>178018.353</v>
      </c>
      <c r="K6" s="264">
        <v>296697.255</v>
      </c>
      <c r="L6" s="264">
        <v>356036.70600000001</v>
      </c>
      <c r="M6" s="264">
        <v>0</v>
      </c>
      <c r="N6" s="264">
        <v>21200.685899999997</v>
      </c>
      <c r="O6" s="264">
        <v>59339.451000000001</v>
      </c>
      <c r="P6" s="264">
        <v>59339.451000000001</v>
      </c>
      <c r="Q6" s="264">
        <v>178018.353</v>
      </c>
      <c r="R6" s="264">
        <v>21200.685899999997</v>
      </c>
      <c r="S6" s="264">
        <v>59339.451000000001</v>
      </c>
      <c r="T6" s="264">
        <v>0</v>
      </c>
      <c r="U6" s="264">
        <v>0</v>
      </c>
      <c r="V6" s="264">
        <v>41537.615700000002</v>
      </c>
      <c r="W6" s="264">
        <v>23735.7804</v>
      </c>
      <c r="X6" s="264">
        <v>178018.353</v>
      </c>
      <c r="Y6" s="264">
        <v>23735.7804</v>
      </c>
      <c r="Z6" s="264">
        <v>29669.7255</v>
      </c>
    </row>
    <row r="7" spans="1:41" s="79" customFormat="1">
      <c r="A7" s="263" t="s">
        <v>577</v>
      </c>
      <c r="B7" s="264">
        <v>5439281.6385000004</v>
      </c>
      <c r="C7" s="264">
        <v>483491.70120000001</v>
      </c>
      <c r="D7" s="264">
        <v>483491.70120000001</v>
      </c>
      <c r="E7" s="264">
        <v>0</v>
      </c>
      <c r="F7" s="264">
        <v>531840.87132000003</v>
      </c>
      <c r="G7" s="264">
        <v>0</v>
      </c>
      <c r="H7" s="264">
        <v>265920.43566000002</v>
      </c>
      <c r="I7" s="264">
        <v>0</v>
      </c>
      <c r="J7" s="264">
        <v>604364.62650000001</v>
      </c>
      <c r="K7" s="264">
        <v>362618.77590000001</v>
      </c>
      <c r="L7" s="264">
        <v>725237.55180000002</v>
      </c>
      <c r="M7" s="264">
        <v>0</v>
      </c>
      <c r="N7" s="264">
        <v>0</v>
      </c>
      <c r="O7" s="264">
        <v>120872.9253</v>
      </c>
      <c r="P7" s="264">
        <v>120872.9253</v>
      </c>
      <c r="Q7" s="264">
        <v>483491.70120000001</v>
      </c>
      <c r="R7" s="264">
        <v>0</v>
      </c>
      <c r="S7" s="264">
        <v>241745.85060000001</v>
      </c>
      <c r="T7" s="264">
        <v>0</v>
      </c>
      <c r="U7" s="264">
        <v>483491.70120000001</v>
      </c>
      <c r="V7" s="264">
        <v>120872.9253</v>
      </c>
      <c r="W7" s="264">
        <v>0</v>
      </c>
      <c r="X7" s="264">
        <v>302182.31325000001</v>
      </c>
      <c r="Y7" s="264">
        <v>241745.85060000001</v>
      </c>
      <c r="Z7" s="264">
        <v>483491.70120000001</v>
      </c>
    </row>
    <row r="8" spans="1:41" s="79" customFormat="1">
      <c r="A8" s="265" t="s">
        <v>578</v>
      </c>
      <c r="B8" s="264">
        <v>5439281.6385000004</v>
      </c>
      <c r="C8" s="264">
        <v>483491.70120000001</v>
      </c>
      <c r="D8" s="264">
        <v>483491.70120000001</v>
      </c>
      <c r="E8" s="264">
        <v>0</v>
      </c>
      <c r="F8" s="264">
        <v>531840.87132000003</v>
      </c>
      <c r="G8" s="264">
        <v>0</v>
      </c>
      <c r="H8" s="264">
        <v>265920.43566000002</v>
      </c>
      <c r="I8" s="264">
        <v>0</v>
      </c>
      <c r="J8" s="264">
        <v>604364.62650000001</v>
      </c>
      <c r="K8" s="264">
        <v>362618.77590000001</v>
      </c>
      <c r="L8" s="264">
        <v>725237.55180000002</v>
      </c>
      <c r="M8" s="264">
        <v>0</v>
      </c>
      <c r="N8" s="264">
        <v>0</v>
      </c>
      <c r="O8" s="264">
        <v>120872.9253</v>
      </c>
      <c r="P8" s="264">
        <v>120872.9253</v>
      </c>
      <c r="Q8" s="264">
        <v>483491.70120000001</v>
      </c>
      <c r="R8" s="264">
        <v>0</v>
      </c>
      <c r="S8" s="264">
        <v>241745.85060000001</v>
      </c>
      <c r="T8" s="264">
        <v>0</v>
      </c>
      <c r="U8" s="264">
        <v>483491.70120000001</v>
      </c>
      <c r="V8" s="264">
        <v>120872.9253</v>
      </c>
      <c r="W8" s="264">
        <v>0</v>
      </c>
      <c r="X8" s="264">
        <v>302182.31325000001</v>
      </c>
      <c r="Y8" s="264">
        <v>241745.85060000001</v>
      </c>
      <c r="Z8" s="264">
        <v>483491.70120000001</v>
      </c>
    </row>
    <row r="9" spans="1:41" s="79" customFormat="1">
      <c r="A9" s="263" t="s">
        <v>580</v>
      </c>
      <c r="B9" s="264">
        <v>47648.027099999999</v>
      </c>
      <c r="C9" s="264">
        <v>0</v>
      </c>
      <c r="D9" s="264">
        <v>0</v>
      </c>
      <c r="E9" s="264">
        <v>0</v>
      </c>
      <c r="F9" s="264">
        <v>0</v>
      </c>
      <c r="G9" s="264">
        <v>0</v>
      </c>
      <c r="H9" s="264">
        <v>0</v>
      </c>
      <c r="I9" s="264">
        <v>0</v>
      </c>
      <c r="J9" s="264">
        <v>0</v>
      </c>
      <c r="K9" s="264">
        <v>0</v>
      </c>
      <c r="L9" s="264">
        <v>0</v>
      </c>
      <c r="M9" s="264">
        <v>0</v>
      </c>
      <c r="N9" s="264">
        <v>0</v>
      </c>
      <c r="O9" s="264">
        <v>0</v>
      </c>
      <c r="P9" s="264">
        <v>0</v>
      </c>
      <c r="Q9" s="264">
        <v>0</v>
      </c>
      <c r="R9" s="264">
        <v>0</v>
      </c>
      <c r="S9" s="264">
        <v>0</v>
      </c>
      <c r="T9" s="264">
        <v>0</v>
      </c>
      <c r="U9" s="264">
        <v>0</v>
      </c>
      <c r="V9" s="264">
        <v>0</v>
      </c>
      <c r="W9" s="264">
        <v>0</v>
      </c>
      <c r="X9" s="264">
        <v>0</v>
      </c>
      <c r="Y9" s="264">
        <v>0</v>
      </c>
      <c r="Z9" s="264">
        <v>0</v>
      </c>
    </row>
    <row r="10" spans="1:41" s="79" customFormat="1">
      <c r="A10" s="265" t="s">
        <v>581</v>
      </c>
      <c r="B10" s="264">
        <v>47648.027099999999</v>
      </c>
      <c r="C10" s="264">
        <v>0</v>
      </c>
      <c r="D10" s="264">
        <v>0</v>
      </c>
      <c r="E10" s="264">
        <v>0</v>
      </c>
      <c r="F10" s="264">
        <v>0</v>
      </c>
      <c r="G10" s="264">
        <v>0</v>
      </c>
      <c r="H10" s="264">
        <v>0</v>
      </c>
      <c r="I10" s="264">
        <v>0</v>
      </c>
      <c r="J10" s="264">
        <v>0</v>
      </c>
      <c r="K10" s="264">
        <v>0</v>
      </c>
      <c r="L10" s="264">
        <v>0</v>
      </c>
      <c r="M10" s="264">
        <v>0</v>
      </c>
      <c r="N10" s="264">
        <v>0</v>
      </c>
      <c r="O10" s="264">
        <v>0</v>
      </c>
      <c r="P10" s="264">
        <v>0</v>
      </c>
      <c r="Q10" s="264">
        <v>0</v>
      </c>
      <c r="R10" s="264">
        <v>0</v>
      </c>
      <c r="S10" s="264">
        <v>0</v>
      </c>
      <c r="T10" s="264">
        <v>0</v>
      </c>
      <c r="U10" s="264">
        <v>0</v>
      </c>
      <c r="V10" s="264">
        <v>0</v>
      </c>
      <c r="W10" s="264">
        <v>0</v>
      </c>
      <c r="X10" s="264">
        <v>0</v>
      </c>
      <c r="Y10" s="264">
        <v>0</v>
      </c>
      <c r="Z10" s="264">
        <v>0</v>
      </c>
    </row>
    <row r="11" spans="1:41" s="79" customFormat="1">
      <c r="A11" s="263" t="s">
        <v>590</v>
      </c>
      <c r="B11" s="264">
        <v>0</v>
      </c>
      <c r="C11" s="264">
        <v>0</v>
      </c>
      <c r="D11" s="264">
        <v>0</v>
      </c>
      <c r="E11" s="264">
        <v>0</v>
      </c>
      <c r="F11" s="264">
        <v>0</v>
      </c>
      <c r="G11" s="264">
        <v>0</v>
      </c>
      <c r="H11" s="264">
        <v>0</v>
      </c>
      <c r="I11" s="264">
        <v>0</v>
      </c>
      <c r="J11" s="264">
        <v>0</v>
      </c>
      <c r="K11" s="264">
        <v>0</v>
      </c>
      <c r="L11" s="264">
        <v>0</v>
      </c>
      <c r="M11" s="264">
        <v>0</v>
      </c>
      <c r="N11" s="264">
        <v>39030.384299999998</v>
      </c>
      <c r="O11" s="264">
        <v>0</v>
      </c>
      <c r="P11" s="264">
        <v>0</v>
      </c>
      <c r="Q11" s="264">
        <v>117091.15289999999</v>
      </c>
      <c r="R11" s="264">
        <v>39030.384299999998</v>
      </c>
      <c r="S11" s="264">
        <v>39030.384299999998</v>
      </c>
      <c r="T11" s="264">
        <v>0</v>
      </c>
      <c r="U11" s="264">
        <v>3903.0384299999996</v>
      </c>
      <c r="V11" s="264">
        <v>0</v>
      </c>
      <c r="W11" s="264">
        <v>0</v>
      </c>
      <c r="X11" s="264">
        <v>0</v>
      </c>
      <c r="Y11" s="264">
        <v>0</v>
      </c>
      <c r="Z11" s="264">
        <v>0</v>
      </c>
    </row>
    <row r="12" spans="1:41" s="79" customFormat="1">
      <c r="A12" s="265" t="s">
        <v>591</v>
      </c>
      <c r="B12" s="264">
        <v>0</v>
      </c>
      <c r="C12" s="264">
        <v>0</v>
      </c>
      <c r="D12" s="264">
        <v>0</v>
      </c>
      <c r="E12" s="264">
        <v>0</v>
      </c>
      <c r="F12" s="264">
        <v>0</v>
      </c>
      <c r="G12" s="264">
        <v>0</v>
      </c>
      <c r="H12" s="264">
        <v>0</v>
      </c>
      <c r="I12" s="264">
        <v>0</v>
      </c>
      <c r="J12" s="264">
        <v>0</v>
      </c>
      <c r="K12" s="264">
        <v>0</v>
      </c>
      <c r="L12" s="264">
        <v>0</v>
      </c>
      <c r="M12" s="264">
        <v>0</v>
      </c>
      <c r="N12" s="264">
        <v>39030.384299999998</v>
      </c>
      <c r="O12" s="264">
        <v>0</v>
      </c>
      <c r="P12" s="264">
        <v>0</v>
      </c>
      <c r="Q12" s="264">
        <v>117091.15289999999</v>
      </c>
      <c r="R12" s="264">
        <v>39030.384299999998</v>
      </c>
      <c r="S12" s="264">
        <v>39030.384299999998</v>
      </c>
      <c r="T12" s="264">
        <v>0</v>
      </c>
      <c r="U12" s="264">
        <v>3903.0384299999996</v>
      </c>
      <c r="V12" s="264">
        <v>0</v>
      </c>
      <c r="W12" s="264">
        <v>0</v>
      </c>
      <c r="X12" s="264">
        <v>0</v>
      </c>
      <c r="Y12" s="264">
        <v>0</v>
      </c>
      <c r="Z12" s="264">
        <v>0</v>
      </c>
    </row>
    <row r="13" spans="1:41" s="79" customFormat="1">
      <c r="A13" s="263" t="s">
        <v>587</v>
      </c>
      <c r="B13" s="264">
        <v>1569067.395</v>
      </c>
      <c r="C13" s="264">
        <v>119793.42600000001</v>
      </c>
      <c r="D13" s="264">
        <v>74870.891250000001</v>
      </c>
      <c r="E13" s="264">
        <v>0</v>
      </c>
      <c r="F13" s="264">
        <v>181257.18660000002</v>
      </c>
      <c r="G13" s="264">
        <v>0</v>
      </c>
      <c r="H13" s="264">
        <v>47525.608500000002</v>
      </c>
      <c r="I13" s="264">
        <v>54690.565500000004</v>
      </c>
      <c r="J13" s="264">
        <v>132164.53049999999</v>
      </c>
      <c r="K13" s="264">
        <v>72267.817500000005</v>
      </c>
      <c r="L13" s="264">
        <v>119793.42600000001</v>
      </c>
      <c r="M13" s="264">
        <v>36133.908750000002</v>
      </c>
      <c r="N13" s="264">
        <v>14061.801599999999</v>
      </c>
      <c r="O13" s="264">
        <v>27474.135600000001</v>
      </c>
      <c r="P13" s="264">
        <v>29948.356500000002</v>
      </c>
      <c r="Q13" s="264">
        <v>17577.252</v>
      </c>
      <c r="R13" s="264">
        <v>0</v>
      </c>
      <c r="S13" s="264">
        <v>119793.42600000001</v>
      </c>
      <c r="T13" s="264">
        <v>0</v>
      </c>
      <c r="U13" s="264">
        <v>70309.008000000002</v>
      </c>
      <c r="V13" s="264">
        <v>18489.628649999999</v>
      </c>
      <c r="W13" s="264">
        <v>8788.6260000000002</v>
      </c>
      <c r="X13" s="264">
        <v>59896.713000000003</v>
      </c>
      <c r="Y13" s="264">
        <v>29948.356500000002</v>
      </c>
      <c r="Z13" s="264">
        <v>24742.209000000003</v>
      </c>
    </row>
    <row r="14" spans="1:41" s="79" customFormat="1">
      <c r="A14" s="265" t="s">
        <v>588</v>
      </c>
      <c r="B14" s="264">
        <v>1569067.395</v>
      </c>
      <c r="C14" s="264">
        <v>119793.42600000001</v>
      </c>
      <c r="D14" s="264">
        <v>74870.891250000001</v>
      </c>
      <c r="E14" s="264">
        <v>0</v>
      </c>
      <c r="F14" s="264">
        <v>181257.18660000002</v>
      </c>
      <c r="G14" s="264">
        <v>0</v>
      </c>
      <c r="H14" s="264">
        <v>47525.608500000002</v>
      </c>
      <c r="I14" s="264">
        <v>54690.565500000004</v>
      </c>
      <c r="J14" s="264">
        <v>132164.53049999999</v>
      </c>
      <c r="K14" s="264">
        <v>72267.817500000005</v>
      </c>
      <c r="L14" s="264">
        <v>119793.42600000001</v>
      </c>
      <c r="M14" s="264">
        <v>36133.908750000002</v>
      </c>
      <c r="N14" s="264">
        <v>14061.801599999999</v>
      </c>
      <c r="O14" s="264">
        <v>27474.135600000001</v>
      </c>
      <c r="P14" s="264">
        <v>29948.356500000002</v>
      </c>
      <c r="Q14" s="264">
        <v>17577.252</v>
      </c>
      <c r="R14" s="264">
        <v>0</v>
      </c>
      <c r="S14" s="264">
        <v>119793.42600000001</v>
      </c>
      <c r="T14" s="264">
        <v>0</v>
      </c>
      <c r="U14" s="264">
        <v>70309.008000000002</v>
      </c>
      <c r="V14" s="264">
        <v>18489.628649999999</v>
      </c>
      <c r="W14" s="264">
        <v>8788.6260000000002</v>
      </c>
      <c r="X14" s="264">
        <v>59896.713000000003</v>
      </c>
      <c r="Y14" s="264">
        <v>29948.356500000002</v>
      </c>
      <c r="Z14" s="264">
        <v>24742.209000000003</v>
      </c>
    </row>
    <row r="15" spans="1:41" s="79" customFormat="1">
      <c r="A15" s="263" t="s">
        <v>594</v>
      </c>
      <c r="B15" s="264">
        <v>180804.43920000002</v>
      </c>
      <c r="C15" s="264">
        <v>90402.219600000011</v>
      </c>
      <c r="D15" s="264">
        <v>90402.219600000011</v>
      </c>
      <c r="E15" s="264">
        <v>0</v>
      </c>
      <c r="F15" s="264">
        <v>108482.66352</v>
      </c>
      <c r="G15" s="264">
        <v>90402.219600000011</v>
      </c>
      <c r="H15" s="264">
        <v>18080.443920000002</v>
      </c>
      <c r="I15" s="264">
        <v>90402.219600000011</v>
      </c>
      <c r="J15" s="264">
        <v>81361.997640000001</v>
      </c>
      <c r="K15" s="264">
        <v>90402.219600000011</v>
      </c>
      <c r="L15" s="264">
        <v>90402.219600000011</v>
      </c>
      <c r="M15" s="264">
        <v>45201.109800000006</v>
      </c>
      <c r="N15" s="264">
        <v>0</v>
      </c>
      <c r="O15" s="264">
        <v>54241.331760000001</v>
      </c>
      <c r="P15" s="264">
        <v>54241.331760000001</v>
      </c>
      <c r="Q15" s="264">
        <v>0</v>
      </c>
      <c r="R15" s="264">
        <v>0</v>
      </c>
      <c r="S15" s="264">
        <v>72321.775680000006</v>
      </c>
      <c r="T15" s="264">
        <v>90402.219600000011</v>
      </c>
      <c r="U15" s="264">
        <v>0</v>
      </c>
      <c r="V15" s="264">
        <v>72321.775680000006</v>
      </c>
      <c r="W15" s="264">
        <v>18080.443920000002</v>
      </c>
      <c r="X15" s="264">
        <v>36160.887840000003</v>
      </c>
      <c r="Y15" s="264">
        <v>36160.887840000003</v>
      </c>
      <c r="Z15" s="264">
        <v>90402.219600000011</v>
      </c>
    </row>
    <row r="16" spans="1:41" s="79" customFormat="1">
      <c r="A16" s="265" t="s">
        <v>595</v>
      </c>
      <c r="B16" s="264">
        <v>180804.43920000002</v>
      </c>
      <c r="C16" s="264">
        <v>90402.219600000011</v>
      </c>
      <c r="D16" s="264">
        <v>90402.219600000011</v>
      </c>
      <c r="E16" s="264">
        <v>0</v>
      </c>
      <c r="F16" s="264">
        <v>108482.66352</v>
      </c>
      <c r="G16" s="264">
        <v>90402.219600000011</v>
      </c>
      <c r="H16" s="264">
        <v>18080.443920000002</v>
      </c>
      <c r="I16" s="264">
        <v>90402.219600000011</v>
      </c>
      <c r="J16" s="264">
        <v>81361.997640000001</v>
      </c>
      <c r="K16" s="264">
        <v>90402.219600000011</v>
      </c>
      <c r="L16" s="264">
        <v>90402.219600000011</v>
      </c>
      <c r="M16" s="264">
        <v>45201.109800000006</v>
      </c>
      <c r="N16" s="264">
        <v>0</v>
      </c>
      <c r="O16" s="264">
        <v>54241.331760000001</v>
      </c>
      <c r="P16" s="264">
        <v>54241.331760000001</v>
      </c>
      <c r="Q16" s="264">
        <v>0</v>
      </c>
      <c r="R16" s="264">
        <v>0</v>
      </c>
      <c r="S16" s="264">
        <v>72321.775680000006</v>
      </c>
      <c r="T16" s="264">
        <v>90402.219600000011</v>
      </c>
      <c r="U16" s="264">
        <v>0</v>
      </c>
      <c r="V16" s="264">
        <v>72321.775680000006</v>
      </c>
      <c r="W16" s="264">
        <v>18080.443920000002</v>
      </c>
      <c r="X16" s="264">
        <v>36160.887840000003</v>
      </c>
      <c r="Y16" s="264">
        <v>36160.887840000003</v>
      </c>
      <c r="Z16" s="264">
        <v>90402.219600000011</v>
      </c>
    </row>
    <row r="17" spans="1:26" s="79" customFormat="1">
      <c r="A17" s="263" t="s">
        <v>570</v>
      </c>
      <c r="B17" s="264">
        <v>32281.5834</v>
      </c>
      <c r="C17" s="264">
        <v>8608.4222399999999</v>
      </c>
      <c r="D17" s="264">
        <v>0</v>
      </c>
      <c r="E17" s="264">
        <v>0</v>
      </c>
      <c r="F17" s="264">
        <v>8608.4222399999999</v>
      </c>
      <c r="G17" s="264">
        <v>8608.4222399999999</v>
      </c>
      <c r="H17" s="264">
        <v>8608.4222399999999</v>
      </c>
      <c r="I17" s="264">
        <v>0</v>
      </c>
      <c r="J17" s="264">
        <v>8608.4222399999999</v>
      </c>
      <c r="K17" s="264">
        <v>0</v>
      </c>
      <c r="L17" s="264">
        <v>4304.2111199999999</v>
      </c>
      <c r="M17" s="264">
        <v>9182.2901999999995</v>
      </c>
      <c r="N17" s="264">
        <v>0</v>
      </c>
      <c r="O17" s="264">
        <v>2152.10556</v>
      </c>
      <c r="P17" s="264">
        <v>8608.4222399999999</v>
      </c>
      <c r="Q17" s="264">
        <v>114778.62749999999</v>
      </c>
      <c r="R17" s="264">
        <v>0</v>
      </c>
      <c r="S17" s="264">
        <v>11477.86275</v>
      </c>
      <c r="T17" s="264">
        <v>0</v>
      </c>
      <c r="U17" s="264">
        <v>0</v>
      </c>
      <c r="V17" s="264">
        <v>8608.4222399999999</v>
      </c>
      <c r="W17" s="264">
        <v>6456.3166799999999</v>
      </c>
      <c r="X17" s="264">
        <v>0</v>
      </c>
      <c r="Y17" s="264">
        <v>10760.5278</v>
      </c>
      <c r="Z17" s="264">
        <v>4304.2111199999999</v>
      </c>
    </row>
    <row r="18" spans="1:26" s="79" customFormat="1">
      <c r="A18" s="265" t="s">
        <v>571</v>
      </c>
      <c r="B18" s="264">
        <v>32281.5834</v>
      </c>
      <c r="C18" s="264">
        <v>8608.4222399999999</v>
      </c>
      <c r="D18" s="264">
        <v>0</v>
      </c>
      <c r="E18" s="264">
        <v>0</v>
      </c>
      <c r="F18" s="264">
        <v>8608.4222399999999</v>
      </c>
      <c r="G18" s="264">
        <v>8608.4222399999999</v>
      </c>
      <c r="H18" s="264">
        <v>8608.4222399999999</v>
      </c>
      <c r="I18" s="264">
        <v>0</v>
      </c>
      <c r="J18" s="264">
        <v>8608.4222399999999</v>
      </c>
      <c r="K18" s="264">
        <v>0</v>
      </c>
      <c r="L18" s="264">
        <v>4304.2111199999999</v>
      </c>
      <c r="M18" s="264">
        <v>9182.2901999999995</v>
      </c>
      <c r="N18" s="264">
        <v>0</v>
      </c>
      <c r="O18" s="264">
        <v>2152.10556</v>
      </c>
      <c r="P18" s="264">
        <v>8608.4222399999999</v>
      </c>
      <c r="Q18" s="264">
        <v>114778.62749999999</v>
      </c>
      <c r="R18" s="264">
        <v>0</v>
      </c>
      <c r="S18" s="264">
        <v>11477.86275</v>
      </c>
      <c r="T18" s="264">
        <v>0</v>
      </c>
      <c r="U18" s="264">
        <v>0</v>
      </c>
      <c r="V18" s="264">
        <v>8608.4222399999999</v>
      </c>
      <c r="W18" s="264">
        <v>6456.3166799999999</v>
      </c>
      <c r="X18" s="264">
        <v>0</v>
      </c>
      <c r="Y18" s="264">
        <v>10760.5278</v>
      </c>
      <c r="Z18" s="264">
        <v>4304.2111199999999</v>
      </c>
    </row>
    <row r="19" spans="1:26" s="79" customFormat="1">
      <c r="A19" s="263" t="s">
        <v>499</v>
      </c>
      <c r="B19" s="264">
        <v>42373.396800000002</v>
      </c>
      <c r="C19" s="264">
        <v>10057.034880000001</v>
      </c>
      <c r="D19" s="264">
        <v>10057.034880000001</v>
      </c>
      <c r="E19" s="264">
        <v>0</v>
      </c>
      <c r="F19" s="264">
        <v>10057.034880000001</v>
      </c>
      <c r="G19" s="264">
        <v>0</v>
      </c>
      <c r="H19" s="264">
        <v>12571.293600000001</v>
      </c>
      <c r="I19" s="264">
        <v>0</v>
      </c>
      <c r="J19" s="264">
        <v>10057.034880000001</v>
      </c>
      <c r="K19" s="264">
        <v>0</v>
      </c>
      <c r="L19" s="264">
        <v>11704.02384</v>
      </c>
      <c r="M19" s="264">
        <v>24058.5</v>
      </c>
      <c r="N19" s="264">
        <v>0</v>
      </c>
      <c r="O19" s="264">
        <v>0</v>
      </c>
      <c r="P19" s="264">
        <v>0</v>
      </c>
      <c r="Q19" s="264">
        <v>18856.940400000003</v>
      </c>
      <c r="R19" s="264">
        <v>5028.5174400000005</v>
      </c>
      <c r="S19" s="264">
        <v>10057.034880000001</v>
      </c>
      <c r="T19" s="264">
        <v>12571.293600000001</v>
      </c>
      <c r="U19" s="264">
        <v>0</v>
      </c>
      <c r="V19" s="264">
        <v>7217.5500000000011</v>
      </c>
      <c r="W19" s="264">
        <v>14868.73488</v>
      </c>
      <c r="X19" s="264">
        <v>6285.6468000000004</v>
      </c>
      <c r="Y19" s="264">
        <v>2297.44128</v>
      </c>
      <c r="Z19" s="264">
        <v>7217.5500000000011</v>
      </c>
    </row>
    <row r="20" spans="1:26" s="79" customFormat="1">
      <c r="A20" s="265" t="s">
        <v>500</v>
      </c>
      <c r="B20" s="264">
        <v>42373.396800000002</v>
      </c>
      <c r="C20" s="264">
        <v>10057.034880000001</v>
      </c>
      <c r="D20" s="264">
        <v>10057.034880000001</v>
      </c>
      <c r="E20" s="264">
        <v>0</v>
      </c>
      <c r="F20" s="264">
        <v>10057.034880000001</v>
      </c>
      <c r="G20" s="264">
        <v>0</v>
      </c>
      <c r="H20" s="264">
        <v>12571.293600000001</v>
      </c>
      <c r="I20" s="264">
        <v>0</v>
      </c>
      <c r="J20" s="264">
        <v>10057.034880000001</v>
      </c>
      <c r="K20" s="264">
        <v>0</v>
      </c>
      <c r="L20" s="264">
        <v>11704.02384</v>
      </c>
      <c r="M20" s="264">
        <v>24058.5</v>
      </c>
      <c r="N20" s="264">
        <v>0</v>
      </c>
      <c r="O20" s="264">
        <v>0</v>
      </c>
      <c r="P20" s="264">
        <v>0</v>
      </c>
      <c r="Q20" s="264">
        <v>18856.940400000003</v>
      </c>
      <c r="R20" s="264">
        <v>5028.5174400000005</v>
      </c>
      <c r="S20" s="264">
        <v>10057.034880000001</v>
      </c>
      <c r="T20" s="264">
        <v>12571.293600000001</v>
      </c>
      <c r="U20" s="264">
        <v>0</v>
      </c>
      <c r="V20" s="264">
        <v>7217.5500000000011</v>
      </c>
      <c r="W20" s="264">
        <v>14868.73488</v>
      </c>
      <c r="X20" s="264">
        <v>6285.6468000000004</v>
      </c>
      <c r="Y20" s="264">
        <v>2297.44128</v>
      </c>
      <c r="Z20" s="264">
        <v>7217.5500000000011</v>
      </c>
    </row>
    <row r="21" spans="1:26" s="79" customFormat="1">
      <c r="A21" s="263" t="s">
        <v>523</v>
      </c>
      <c r="B21" s="264">
        <v>103304.28959999999</v>
      </c>
      <c r="C21" s="264">
        <v>41321.715839999997</v>
      </c>
      <c r="D21" s="264">
        <v>0</v>
      </c>
      <c r="E21" s="264">
        <v>0</v>
      </c>
      <c r="F21" s="264">
        <v>77478.217199999999</v>
      </c>
      <c r="G21" s="264">
        <v>0</v>
      </c>
      <c r="H21" s="264">
        <v>41321.715839999997</v>
      </c>
      <c r="I21" s="264">
        <v>0</v>
      </c>
      <c r="J21" s="264">
        <v>41321.715839999997</v>
      </c>
      <c r="K21" s="264">
        <v>81368.935440000001</v>
      </c>
      <c r="L21" s="264">
        <v>62145.276359999996</v>
      </c>
      <c r="M21" s="264">
        <v>0</v>
      </c>
      <c r="N21" s="264">
        <v>0</v>
      </c>
      <c r="O21" s="264">
        <v>0</v>
      </c>
      <c r="P21" s="264">
        <v>20660.857919999999</v>
      </c>
      <c r="Q21" s="264">
        <v>41321.715839999997</v>
      </c>
      <c r="R21" s="264">
        <v>20660.857919999999</v>
      </c>
      <c r="S21" s="264">
        <v>25826.072399999997</v>
      </c>
      <c r="T21" s="264">
        <v>0</v>
      </c>
      <c r="U21" s="264">
        <v>20342.23386</v>
      </c>
      <c r="V21" s="264">
        <v>10171.11693</v>
      </c>
      <c r="W21" s="264">
        <v>0</v>
      </c>
      <c r="X21" s="264">
        <v>20660.857919999999</v>
      </c>
      <c r="Y21" s="264">
        <v>25826.072399999997</v>
      </c>
      <c r="Z21" s="264">
        <v>8147.7970799999994</v>
      </c>
    </row>
    <row r="22" spans="1:26" s="79" customFormat="1">
      <c r="A22" s="265" t="s">
        <v>524</v>
      </c>
      <c r="B22" s="264">
        <v>103304.28959999999</v>
      </c>
      <c r="C22" s="264">
        <v>41321.715839999997</v>
      </c>
      <c r="D22" s="264">
        <v>0</v>
      </c>
      <c r="E22" s="264">
        <v>0</v>
      </c>
      <c r="F22" s="264">
        <v>77478.217199999999</v>
      </c>
      <c r="G22" s="264">
        <v>0</v>
      </c>
      <c r="H22" s="264">
        <v>41321.715839999997</v>
      </c>
      <c r="I22" s="264">
        <v>0</v>
      </c>
      <c r="J22" s="264">
        <v>41321.715839999997</v>
      </c>
      <c r="K22" s="264">
        <v>81368.935440000001</v>
      </c>
      <c r="L22" s="264">
        <v>62145.276359999996</v>
      </c>
      <c r="M22" s="264">
        <v>0</v>
      </c>
      <c r="N22" s="264">
        <v>0</v>
      </c>
      <c r="O22" s="264">
        <v>0</v>
      </c>
      <c r="P22" s="264">
        <v>20660.857919999999</v>
      </c>
      <c r="Q22" s="264">
        <v>41321.715839999997</v>
      </c>
      <c r="R22" s="264">
        <v>20660.857919999999</v>
      </c>
      <c r="S22" s="264">
        <v>25826.072399999997</v>
      </c>
      <c r="T22" s="264">
        <v>0</v>
      </c>
      <c r="U22" s="264">
        <v>20342.23386</v>
      </c>
      <c r="V22" s="264">
        <v>10171.11693</v>
      </c>
      <c r="W22" s="264">
        <v>0</v>
      </c>
      <c r="X22" s="264">
        <v>20660.857919999999</v>
      </c>
      <c r="Y22" s="264">
        <v>25826.072399999997</v>
      </c>
      <c r="Z22" s="264">
        <v>8147.7970799999994</v>
      </c>
    </row>
    <row r="23" spans="1:26" s="79" customFormat="1">
      <c r="A23" s="263" t="s">
        <v>490</v>
      </c>
      <c r="B23" s="264">
        <v>401431.68255000009</v>
      </c>
      <c r="C23" s="264">
        <v>144411.58266000001</v>
      </c>
      <c r="D23" s="264">
        <v>7516.3230000000003</v>
      </c>
      <c r="E23" s="264">
        <v>0</v>
      </c>
      <c r="F23" s="264">
        <v>294925.63182000001</v>
      </c>
      <c r="G23" s="264">
        <v>0</v>
      </c>
      <c r="H23" s="264">
        <v>142703.82081</v>
      </c>
      <c r="I23" s="264">
        <v>0</v>
      </c>
      <c r="J23" s="264">
        <v>64498.264800000004</v>
      </c>
      <c r="K23" s="264">
        <v>7516.3230000000003</v>
      </c>
      <c r="L23" s="264">
        <v>66104.992140000002</v>
      </c>
      <c r="M23" s="264">
        <v>0</v>
      </c>
      <c r="N23" s="264">
        <v>5192.8985400000001</v>
      </c>
      <c r="O23" s="264">
        <v>90201.582900000009</v>
      </c>
      <c r="P23" s="264">
        <v>133292.39298</v>
      </c>
      <c r="Q23" s="264">
        <v>186626.73048</v>
      </c>
      <c r="R23" s="264">
        <v>347668.91351999994</v>
      </c>
      <c r="S23" s="264">
        <v>169556.03859000001</v>
      </c>
      <c r="T23" s="264">
        <v>0</v>
      </c>
      <c r="U23" s="264">
        <v>8335.3974300000009</v>
      </c>
      <c r="V23" s="264">
        <v>11208.86634</v>
      </c>
      <c r="W23" s="264">
        <v>12982.246350000001</v>
      </c>
      <c r="X23" s="264">
        <v>7426.6463400000002</v>
      </c>
      <c r="Y23" s="264">
        <v>0</v>
      </c>
      <c r="Z23" s="264">
        <v>4304.2111200000008</v>
      </c>
    </row>
    <row r="24" spans="1:26" s="79" customFormat="1">
      <c r="A24" s="265" t="s">
        <v>491</v>
      </c>
      <c r="B24" s="264">
        <v>401431.68255000009</v>
      </c>
      <c r="C24" s="264">
        <v>144411.58266000001</v>
      </c>
      <c r="D24" s="264">
        <v>7516.3230000000003</v>
      </c>
      <c r="E24" s="264">
        <v>0</v>
      </c>
      <c r="F24" s="264">
        <v>294925.63182000001</v>
      </c>
      <c r="G24" s="264">
        <v>0</v>
      </c>
      <c r="H24" s="264">
        <v>142703.82081</v>
      </c>
      <c r="I24" s="264">
        <v>0</v>
      </c>
      <c r="J24" s="264">
        <v>64498.264800000004</v>
      </c>
      <c r="K24" s="264">
        <v>7516.3230000000003</v>
      </c>
      <c r="L24" s="264">
        <v>66104.992140000002</v>
      </c>
      <c r="M24" s="264">
        <v>0</v>
      </c>
      <c r="N24" s="264">
        <v>5192.8985400000001</v>
      </c>
      <c r="O24" s="264">
        <v>90201.582900000009</v>
      </c>
      <c r="P24" s="264">
        <v>133292.39298</v>
      </c>
      <c r="Q24" s="264">
        <v>186626.73048</v>
      </c>
      <c r="R24" s="264">
        <v>347668.91351999994</v>
      </c>
      <c r="S24" s="264">
        <v>169556.03859000001</v>
      </c>
      <c r="T24" s="264">
        <v>0</v>
      </c>
      <c r="U24" s="264">
        <v>8335.3974300000009</v>
      </c>
      <c r="V24" s="264">
        <v>11208.86634</v>
      </c>
      <c r="W24" s="264">
        <v>12982.246350000001</v>
      </c>
      <c r="X24" s="264">
        <v>7426.6463400000002</v>
      </c>
      <c r="Y24" s="264">
        <v>0</v>
      </c>
      <c r="Z24" s="264">
        <v>4304.2111200000008</v>
      </c>
    </row>
    <row r="25" spans="1:26" s="79" customFormat="1">
      <c r="A25" s="263" t="s">
        <v>544</v>
      </c>
      <c r="B25" s="264">
        <v>22729.172760000005</v>
      </c>
      <c r="C25" s="264">
        <v>0</v>
      </c>
      <c r="D25" s="264">
        <v>0</v>
      </c>
      <c r="E25" s="264">
        <v>0</v>
      </c>
      <c r="F25" s="264">
        <v>0</v>
      </c>
      <c r="G25" s="264">
        <v>0</v>
      </c>
      <c r="H25" s="264">
        <v>0</v>
      </c>
      <c r="I25" s="264">
        <v>0</v>
      </c>
      <c r="J25" s="264">
        <v>0</v>
      </c>
      <c r="K25" s="264">
        <v>0</v>
      </c>
      <c r="L25" s="264">
        <v>0</v>
      </c>
      <c r="M25" s="264">
        <v>0</v>
      </c>
      <c r="N25" s="264">
        <v>0</v>
      </c>
      <c r="O25" s="264">
        <v>0</v>
      </c>
      <c r="P25" s="264">
        <v>0</v>
      </c>
      <c r="Q25" s="264">
        <v>0</v>
      </c>
      <c r="R25" s="264">
        <v>0</v>
      </c>
      <c r="S25" s="264">
        <v>0</v>
      </c>
      <c r="T25" s="264">
        <v>0</v>
      </c>
      <c r="U25" s="264">
        <v>0</v>
      </c>
      <c r="V25" s="264">
        <v>0</v>
      </c>
      <c r="W25" s="264">
        <v>0</v>
      </c>
      <c r="X25" s="264">
        <v>0</v>
      </c>
      <c r="Y25" s="264">
        <v>18520.61376</v>
      </c>
      <c r="Z25" s="264">
        <v>0</v>
      </c>
    </row>
    <row r="26" spans="1:26" s="79" customFormat="1">
      <c r="A26" s="265" t="s">
        <v>545</v>
      </c>
      <c r="B26" s="264">
        <v>22729.172760000005</v>
      </c>
      <c r="C26" s="264">
        <v>0</v>
      </c>
      <c r="D26" s="264">
        <v>0</v>
      </c>
      <c r="E26" s="264">
        <v>0</v>
      </c>
      <c r="F26" s="264">
        <v>0</v>
      </c>
      <c r="G26" s="264">
        <v>0</v>
      </c>
      <c r="H26" s="264">
        <v>0</v>
      </c>
      <c r="I26" s="264">
        <v>0</v>
      </c>
      <c r="J26" s="264">
        <v>0</v>
      </c>
      <c r="K26" s="264">
        <v>0</v>
      </c>
      <c r="L26" s="264">
        <v>0</v>
      </c>
      <c r="M26" s="264">
        <v>0</v>
      </c>
      <c r="N26" s="264">
        <v>0</v>
      </c>
      <c r="O26" s="264">
        <v>0</v>
      </c>
      <c r="P26" s="264">
        <v>0</v>
      </c>
      <c r="Q26" s="264">
        <v>0</v>
      </c>
      <c r="R26" s="264">
        <v>0</v>
      </c>
      <c r="S26" s="264">
        <v>0</v>
      </c>
      <c r="T26" s="264">
        <v>0</v>
      </c>
      <c r="U26" s="264">
        <v>0</v>
      </c>
      <c r="V26" s="264">
        <v>0</v>
      </c>
      <c r="W26" s="264">
        <v>0</v>
      </c>
      <c r="X26" s="264">
        <v>0</v>
      </c>
      <c r="Y26" s="264">
        <v>18520.61376</v>
      </c>
      <c r="Z26" s="264">
        <v>0</v>
      </c>
    </row>
    <row r="27" spans="1:26" s="79" customFormat="1">
      <c r="A27" s="263" t="s">
        <v>564</v>
      </c>
      <c r="B27" s="264">
        <v>32085.702449999997</v>
      </c>
      <c r="C27" s="264">
        <v>0</v>
      </c>
      <c r="D27" s="264">
        <v>0</v>
      </c>
      <c r="E27" s="264">
        <v>0</v>
      </c>
      <c r="F27" s="264">
        <v>19251.421469999997</v>
      </c>
      <c r="G27" s="264">
        <v>4278.0936599999995</v>
      </c>
      <c r="H27" s="264">
        <v>8556.1873199999991</v>
      </c>
      <c r="I27" s="264">
        <v>0</v>
      </c>
      <c r="J27" s="264">
        <v>0</v>
      </c>
      <c r="K27" s="264">
        <v>8556.1873199999991</v>
      </c>
      <c r="L27" s="264">
        <v>8556.1873199999991</v>
      </c>
      <c r="M27" s="264">
        <v>0</v>
      </c>
      <c r="N27" s="264">
        <v>0</v>
      </c>
      <c r="O27" s="264">
        <v>2139.0468299999998</v>
      </c>
      <c r="P27" s="264">
        <v>4278.0936599999995</v>
      </c>
      <c r="Q27" s="264">
        <v>17112.374639999998</v>
      </c>
      <c r="R27" s="264">
        <v>4278.0936599999995</v>
      </c>
      <c r="S27" s="264">
        <v>21390.468299999997</v>
      </c>
      <c r="T27" s="264">
        <v>0</v>
      </c>
      <c r="U27" s="264">
        <v>0</v>
      </c>
      <c r="V27" s="264">
        <v>14973.327809999999</v>
      </c>
      <c r="W27" s="264">
        <v>6417.1404899999998</v>
      </c>
      <c r="X27" s="264">
        <v>0</v>
      </c>
      <c r="Y27" s="264">
        <v>10695.234149999998</v>
      </c>
      <c r="Z27" s="264">
        <v>0</v>
      </c>
    </row>
    <row r="28" spans="1:26" s="79" customFormat="1">
      <c r="A28" s="265" t="s">
        <v>565</v>
      </c>
      <c r="B28" s="264">
        <v>32085.702449999997</v>
      </c>
      <c r="C28" s="264">
        <v>0</v>
      </c>
      <c r="D28" s="264">
        <v>0</v>
      </c>
      <c r="E28" s="264">
        <v>0</v>
      </c>
      <c r="F28" s="264">
        <v>19251.421469999997</v>
      </c>
      <c r="G28" s="264">
        <v>4278.0936599999995</v>
      </c>
      <c r="H28" s="264">
        <v>8556.1873199999991</v>
      </c>
      <c r="I28" s="264">
        <v>0</v>
      </c>
      <c r="J28" s="264">
        <v>0</v>
      </c>
      <c r="K28" s="264">
        <v>8556.1873199999991</v>
      </c>
      <c r="L28" s="264">
        <v>8556.1873199999991</v>
      </c>
      <c r="M28" s="264">
        <v>0</v>
      </c>
      <c r="N28" s="264">
        <v>0</v>
      </c>
      <c r="O28" s="264">
        <v>2139.0468299999998</v>
      </c>
      <c r="P28" s="264">
        <v>4278.0936599999995</v>
      </c>
      <c r="Q28" s="264">
        <v>17112.374639999998</v>
      </c>
      <c r="R28" s="264">
        <v>4278.0936599999995</v>
      </c>
      <c r="S28" s="264">
        <v>21390.468299999997</v>
      </c>
      <c r="T28" s="264">
        <v>0</v>
      </c>
      <c r="U28" s="264">
        <v>0</v>
      </c>
      <c r="V28" s="264">
        <v>14973.327809999999</v>
      </c>
      <c r="W28" s="264">
        <v>6417.1404899999998</v>
      </c>
      <c r="X28" s="264">
        <v>0</v>
      </c>
      <c r="Y28" s="264">
        <v>10695.234149999998</v>
      </c>
      <c r="Z28" s="264">
        <v>0</v>
      </c>
    </row>
    <row r="29" spans="1:26" s="79" customFormat="1">
      <c r="A29" s="263" t="s">
        <v>548</v>
      </c>
      <c r="B29" s="264">
        <v>1838687.6474999997</v>
      </c>
      <c r="C29" s="264">
        <v>294190.02359999996</v>
      </c>
      <c r="D29" s="264">
        <v>147095.01179999998</v>
      </c>
      <c r="E29" s="264">
        <v>0</v>
      </c>
      <c r="F29" s="264">
        <v>941408.07551999984</v>
      </c>
      <c r="G29" s="264">
        <v>441285.03539999994</v>
      </c>
      <c r="H29" s="264">
        <v>294190.02359999996</v>
      </c>
      <c r="I29" s="264">
        <v>0</v>
      </c>
      <c r="J29" s="264">
        <v>588380.04719999991</v>
      </c>
      <c r="K29" s="264">
        <v>441285.03539999994</v>
      </c>
      <c r="L29" s="264">
        <v>441285.03539999994</v>
      </c>
      <c r="M29" s="264">
        <v>0</v>
      </c>
      <c r="N29" s="264">
        <v>0</v>
      </c>
      <c r="O29" s="264">
        <v>294190.02359999996</v>
      </c>
      <c r="P29" s="264">
        <v>294190.02359999996</v>
      </c>
      <c r="Q29" s="264">
        <v>441285.03539999994</v>
      </c>
      <c r="R29" s="264">
        <v>294190.02359999996</v>
      </c>
      <c r="S29" s="264">
        <v>220642.51769999997</v>
      </c>
      <c r="T29" s="264">
        <v>220642.51769999997</v>
      </c>
      <c r="U29" s="264">
        <v>220642.51769999997</v>
      </c>
      <c r="V29" s="264">
        <v>66192.755309999993</v>
      </c>
      <c r="W29" s="264">
        <v>0</v>
      </c>
      <c r="X29" s="264">
        <v>220642.51769999997</v>
      </c>
      <c r="Y29" s="264">
        <v>147095.01179999998</v>
      </c>
      <c r="Z29" s="264">
        <v>353028.02831999992</v>
      </c>
    </row>
    <row r="30" spans="1:26" s="79" customFormat="1">
      <c r="A30" s="265" t="s">
        <v>549</v>
      </c>
      <c r="B30" s="264">
        <v>1838687.6474999997</v>
      </c>
      <c r="C30" s="264">
        <v>294190.02359999996</v>
      </c>
      <c r="D30" s="264">
        <v>147095.01179999998</v>
      </c>
      <c r="E30" s="264">
        <v>0</v>
      </c>
      <c r="F30" s="264">
        <v>941408.07551999984</v>
      </c>
      <c r="G30" s="264">
        <v>441285.03539999994</v>
      </c>
      <c r="H30" s="264">
        <v>294190.02359999996</v>
      </c>
      <c r="I30" s="264">
        <v>0</v>
      </c>
      <c r="J30" s="264">
        <v>588380.04719999991</v>
      </c>
      <c r="K30" s="264">
        <v>441285.03539999994</v>
      </c>
      <c r="L30" s="264">
        <v>441285.03539999994</v>
      </c>
      <c r="M30" s="264">
        <v>0</v>
      </c>
      <c r="N30" s="264">
        <v>0</v>
      </c>
      <c r="O30" s="264">
        <v>294190.02359999996</v>
      </c>
      <c r="P30" s="264">
        <v>294190.02359999996</v>
      </c>
      <c r="Q30" s="264">
        <v>441285.03539999994</v>
      </c>
      <c r="R30" s="264">
        <v>294190.02359999996</v>
      </c>
      <c r="S30" s="264">
        <v>220642.51769999997</v>
      </c>
      <c r="T30" s="264">
        <v>220642.51769999997</v>
      </c>
      <c r="U30" s="264">
        <v>220642.51769999997</v>
      </c>
      <c r="V30" s="264">
        <v>66192.755309999993</v>
      </c>
      <c r="W30" s="264">
        <v>0</v>
      </c>
      <c r="X30" s="264">
        <v>220642.51769999997</v>
      </c>
      <c r="Y30" s="264">
        <v>147095.01179999998</v>
      </c>
      <c r="Z30" s="264">
        <v>353028.02831999992</v>
      </c>
    </row>
    <row r="31" spans="1:26" s="79" customFormat="1">
      <c r="A31" s="263" t="s">
        <v>567</v>
      </c>
      <c r="B31" s="264">
        <v>85062.463499999983</v>
      </c>
      <c r="C31" s="264">
        <v>0</v>
      </c>
      <c r="D31" s="264">
        <v>0</v>
      </c>
      <c r="E31" s="264">
        <v>0</v>
      </c>
      <c r="F31" s="264">
        <v>0</v>
      </c>
      <c r="G31" s="264">
        <v>0</v>
      </c>
      <c r="H31" s="264">
        <v>0</v>
      </c>
      <c r="I31" s="264">
        <v>0</v>
      </c>
      <c r="J31" s="264">
        <v>0</v>
      </c>
      <c r="K31" s="264">
        <v>0</v>
      </c>
      <c r="L31" s="264">
        <v>0</v>
      </c>
      <c r="M31" s="264">
        <v>0</v>
      </c>
      <c r="N31" s="264">
        <v>0</v>
      </c>
      <c r="O31" s="264">
        <v>0</v>
      </c>
      <c r="P31" s="264">
        <v>0</v>
      </c>
      <c r="Q31" s="264">
        <v>0</v>
      </c>
      <c r="R31" s="264">
        <v>0</v>
      </c>
      <c r="S31" s="264">
        <v>0</v>
      </c>
      <c r="T31" s="264">
        <v>0</v>
      </c>
      <c r="U31" s="264">
        <v>0</v>
      </c>
      <c r="V31" s="264">
        <v>0</v>
      </c>
      <c r="W31" s="264">
        <v>0</v>
      </c>
      <c r="X31" s="264">
        <v>0</v>
      </c>
      <c r="Y31" s="264">
        <v>0</v>
      </c>
      <c r="Z31" s="264">
        <v>0</v>
      </c>
    </row>
    <row r="32" spans="1:26" s="79" customFormat="1">
      <c r="A32" s="265" t="s">
        <v>568</v>
      </c>
      <c r="B32" s="264">
        <v>85062.463499999983</v>
      </c>
      <c r="C32" s="264">
        <v>0</v>
      </c>
      <c r="D32" s="264">
        <v>0</v>
      </c>
      <c r="E32" s="264">
        <v>0</v>
      </c>
      <c r="F32" s="264">
        <v>0</v>
      </c>
      <c r="G32" s="264">
        <v>0</v>
      </c>
      <c r="H32" s="264">
        <v>0</v>
      </c>
      <c r="I32" s="264">
        <v>0</v>
      </c>
      <c r="J32" s="264">
        <v>0</v>
      </c>
      <c r="K32" s="264">
        <v>0</v>
      </c>
      <c r="L32" s="264">
        <v>0</v>
      </c>
      <c r="M32" s="264">
        <v>0</v>
      </c>
      <c r="N32" s="264">
        <v>0</v>
      </c>
      <c r="O32" s="264">
        <v>0</v>
      </c>
      <c r="P32" s="264">
        <v>0</v>
      </c>
      <c r="Q32" s="264">
        <v>0</v>
      </c>
      <c r="R32" s="264">
        <v>0</v>
      </c>
      <c r="S32" s="264">
        <v>0</v>
      </c>
      <c r="T32" s="264">
        <v>0</v>
      </c>
      <c r="U32" s="264">
        <v>0</v>
      </c>
      <c r="V32" s="264">
        <v>0</v>
      </c>
      <c r="W32" s="264">
        <v>0</v>
      </c>
      <c r="X32" s="264">
        <v>0</v>
      </c>
      <c r="Y32" s="264">
        <v>0</v>
      </c>
      <c r="Z32" s="264">
        <v>0</v>
      </c>
    </row>
    <row r="33" spans="1:26" s="79" customFormat="1">
      <c r="A33" s="263" t="s">
        <v>556</v>
      </c>
      <c r="B33" s="264">
        <v>12903.300899999998</v>
      </c>
      <c r="C33" s="264">
        <v>0</v>
      </c>
      <c r="D33" s="264">
        <v>0</v>
      </c>
      <c r="E33" s="264">
        <v>0</v>
      </c>
      <c r="F33" s="264">
        <v>0</v>
      </c>
      <c r="G33" s="264">
        <v>0</v>
      </c>
      <c r="H33" s="264">
        <v>0</v>
      </c>
      <c r="I33" s="264">
        <v>0</v>
      </c>
      <c r="J33" s="264">
        <v>0</v>
      </c>
      <c r="K33" s="264">
        <v>0</v>
      </c>
      <c r="L33" s="264">
        <v>0</v>
      </c>
      <c r="M33" s="264">
        <v>0</v>
      </c>
      <c r="N33" s="264">
        <v>0</v>
      </c>
      <c r="O33" s="264">
        <v>0</v>
      </c>
      <c r="P33" s="264">
        <v>0</v>
      </c>
      <c r="Q33" s="264">
        <v>0</v>
      </c>
      <c r="R33" s="264">
        <v>0</v>
      </c>
      <c r="S33" s="264">
        <v>0</v>
      </c>
      <c r="T33" s="264">
        <v>0</v>
      </c>
      <c r="U33" s="264">
        <v>0</v>
      </c>
      <c r="V33" s="264">
        <v>0</v>
      </c>
      <c r="W33" s="264">
        <v>0</v>
      </c>
      <c r="X33" s="264">
        <v>0</v>
      </c>
      <c r="Y33" s="264">
        <v>0</v>
      </c>
      <c r="Z33" s="264">
        <v>0</v>
      </c>
    </row>
    <row r="34" spans="1:26" s="79" customFormat="1">
      <c r="A34" s="265" t="s">
        <v>557</v>
      </c>
      <c r="B34" s="264">
        <v>12903.300899999998</v>
      </c>
      <c r="C34" s="264">
        <v>0</v>
      </c>
      <c r="D34" s="264">
        <v>0</v>
      </c>
      <c r="E34" s="264">
        <v>0</v>
      </c>
      <c r="F34" s="264">
        <v>0</v>
      </c>
      <c r="G34" s="264">
        <v>0</v>
      </c>
      <c r="H34" s="264">
        <v>0</v>
      </c>
      <c r="I34" s="264">
        <v>0</v>
      </c>
      <c r="J34" s="264">
        <v>0</v>
      </c>
      <c r="K34" s="264">
        <v>0</v>
      </c>
      <c r="L34" s="264">
        <v>0</v>
      </c>
      <c r="M34" s="264">
        <v>0</v>
      </c>
      <c r="N34" s="264">
        <v>0</v>
      </c>
      <c r="O34" s="264">
        <v>0</v>
      </c>
      <c r="P34" s="264">
        <v>0</v>
      </c>
      <c r="Q34" s="264">
        <v>0</v>
      </c>
      <c r="R34" s="264">
        <v>0</v>
      </c>
      <c r="S34" s="264">
        <v>0</v>
      </c>
      <c r="T34" s="264">
        <v>0</v>
      </c>
      <c r="U34" s="264">
        <v>0</v>
      </c>
      <c r="V34" s="264">
        <v>0</v>
      </c>
      <c r="W34" s="264">
        <v>0</v>
      </c>
      <c r="X34" s="264">
        <v>0</v>
      </c>
      <c r="Y34" s="264">
        <v>0</v>
      </c>
      <c r="Z34" s="264">
        <v>0</v>
      </c>
    </row>
    <row r="35" spans="1:26" s="79" customFormat="1">
      <c r="A35" s="263" t="s">
        <v>552</v>
      </c>
      <c r="B35" s="264">
        <v>2273417.469</v>
      </c>
      <c r="C35" s="264">
        <v>202081.5528</v>
      </c>
      <c r="D35" s="264">
        <v>0</v>
      </c>
      <c r="E35" s="264">
        <v>0</v>
      </c>
      <c r="F35" s="264">
        <v>444579.41615999996</v>
      </c>
      <c r="G35" s="264">
        <v>0</v>
      </c>
      <c r="H35" s="264">
        <v>212185.63043999998</v>
      </c>
      <c r="I35" s="264">
        <v>0</v>
      </c>
      <c r="J35" s="264">
        <v>404163.10560000001</v>
      </c>
      <c r="K35" s="264">
        <v>0</v>
      </c>
      <c r="L35" s="264">
        <v>0</v>
      </c>
      <c r="M35" s="264">
        <v>50520.388200000001</v>
      </c>
      <c r="N35" s="264">
        <v>202081.5528</v>
      </c>
      <c r="O35" s="264">
        <v>202081.5528</v>
      </c>
      <c r="P35" s="264">
        <v>202081.5528</v>
      </c>
      <c r="Q35" s="264">
        <v>303122.32919999998</v>
      </c>
      <c r="R35" s="264">
        <v>202081.5528</v>
      </c>
      <c r="S35" s="264">
        <v>35585.095199999996</v>
      </c>
      <c r="T35" s="264">
        <v>0</v>
      </c>
      <c r="U35" s="264">
        <v>151561.16459999999</v>
      </c>
      <c r="V35" s="264">
        <v>151561.16459999999</v>
      </c>
      <c r="W35" s="264">
        <v>0</v>
      </c>
      <c r="X35" s="264">
        <v>126300.9705</v>
      </c>
      <c r="Y35" s="264">
        <v>101040.7764</v>
      </c>
      <c r="Z35" s="264">
        <v>303122.32919999998</v>
      </c>
    </row>
    <row r="36" spans="1:26" s="79" customFormat="1">
      <c r="A36" s="265" t="s">
        <v>553</v>
      </c>
      <c r="B36" s="264">
        <v>2273417.469</v>
      </c>
      <c r="C36" s="264">
        <v>202081.5528</v>
      </c>
      <c r="D36" s="264">
        <v>0</v>
      </c>
      <c r="E36" s="264">
        <v>0</v>
      </c>
      <c r="F36" s="264">
        <v>444579.41615999996</v>
      </c>
      <c r="G36" s="264">
        <v>0</v>
      </c>
      <c r="H36" s="264">
        <v>212185.63043999998</v>
      </c>
      <c r="I36" s="264">
        <v>0</v>
      </c>
      <c r="J36" s="264">
        <v>404163.10560000001</v>
      </c>
      <c r="K36" s="264">
        <v>0</v>
      </c>
      <c r="L36" s="264">
        <v>0</v>
      </c>
      <c r="M36" s="264">
        <v>50520.388200000001</v>
      </c>
      <c r="N36" s="264">
        <v>202081.5528</v>
      </c>
      <c r="O36" s="264">
        <v>202081.5528</v>
      </c>
      <c r="P36" s="264">
        <v>202081.5528</v>
      </c>
      <c r="Q36" s="264">
        <v>303122.32919999998</v>
      </c>
      <c r="R36" s="264">
        <v>202081.5528</v>
      </c>
      <c r="S36" s="264">
        <v>35585.095199999996</v>
      </c>
      <c r="T36" s="264">
        <v>0</v>
      </c>
      <c r="U36" s="264">
        <v>151561.16459999999</v>
      </c>
      <c r="V36" s="264">
        <v>151561.16459999999</v>
      </c>
      <c r="W36" s="264">
        <v>0</v>
      </c>
      <c r="X36" s="264">
        <v>126300.9705</v>
      </c>
      <c r="Y36" s="264">
        <v>101040.7764</v>
      </c>
      <c r="Z36" s="264">
        <v>303122.32919999998</v>
      </c>
    </row>
    <row r="37" spans="1:26" s="79" customFormat="1">
      <c r="A37" s="263" t="s">
        <v>559</v>
      </c>
      <c r="B37" s="264">
        <v>586822.06350000005</v>
      </c>
      <c r="C37" s="264">
        <v>46945.765079999997</v>
      </c>
      <c r="D37" s="264">
        <v>46945.765079999997</v>
      </c>
      <c r="E37" s="264">
        <v>0</v>
      </c>
      <c r="F37" s="264">
        <v>204630.72431999998</v>
      </c>
      <c r="G37" s="264">
        <v>18602.793119999998</v>
      </c>
      <c r="H37" s="264">
        <v>28342.971960000003</v>
      </c>
      <c r="I37" s="264">
        <v>18602.793119999998</v>
      </c>
      <c r="J37" s="264">
        <v>117364.4127</v>
      </c>
      <c r="K37" s="264">
        <v>46945.765079999997</v>
      </c>
      <c r="L37" s="264">
        <v>46945.765079999997</v>
      </c>
      <c r="M37" s="264">
        <v>129539.63625000001</v>
      </c>
      <c r="N37" s="264">
        <v>18602.793119999998</v>
      </c>
      <c r="O37" s="264">
        <v>117364.4127</v>
      </c>
      <c r="P37" s="264">
        <v>23472.882539999999</v>
      </c>
      <c r="Q37" s="264">
        <v>342813.58370999998</v>
      </c>
      <c r="R37" s="264">
        <v>9301.3965599999992</v>
      </c>
      <c r="S37" s="264">
        <v>352093.23810000002</v>
      </c>
      <c r="T37" s="264">
        <v>0</v>
      </c>
      <c r="U37" s="264">
        <v>0</v>
      </c>
      <c r="V37" s="264">
        <v>0</v>
      </c>
      <c r="W37" s="264">
        <v>0</v>
      </c>
      <c r="X37" s="264">
        <v>139520.94839999999</v>
      </c>
      <c r="Y37" s="264">
        <v>281235.80819999997</v>
      </c>
      <c r="Z37" s="264">
        <v>255086.74764000002</v>
      </c>
    </row>
    <row r="38" spans="1:26" s="79" customFormat="1">
      <c r="A38" s="265" t="s">
        <v>560</v>
      </c>
      <c r="B38" s="264">
        <v>586822.06350000005</v>
      </c>
      <c r="C38" s="264">
        <v>46945.765079999997</v>
      </c>
      <c r="D38" s="264">
        <v>46945.765079999997</v>
      </c>
      <c r="E38" s="264">
        <v>0</v>
      </c>
      <c r="F38" s="264">
        <v>204630.72431999998</v>
      </c>
      <c r="G38" s="264">
        <v>18602.793119999998</v>
      </c>
      <c r="H38" s="264">
        <v>28342.971960000003</v>
      </c>
      <c r="I38" s="264">
        <v>18602.793119999998</v>
      </c>
      <c r="J38" s="264">
        <v>117364.4127</v>
      </c>
      <c r="K38" s="264">
        <v>46945.765079999997</v>
      </c>
      <c r="L38" s="264">
        <v>46945.765079999997</v>
      </c>
      <c r="M38" s="264">
        <v>129539.63625000001</v>
      </c>
      <c r="N38" s="264">
        <v>18602.793119999998</v>
      </c>
      <c r="O38" s="264">
        <v>117364.4127</v>
      </c>
      <c r="P38" s="264">
        <v>23472.882539999999</v>
      </c>
      <c r="Q38" s="264">
        <v>342813.58370999998</v>
      </c>
      <c r="R38" s="264">
        <v>9301.3965599999992</v>
      </c>
      <c r="S38" s="264">
        <v>352093.23810000002</v>
      </c>
      <c r="T38" s="264">
        <v>0</v>
      </c>
      <c r="U38" s="264">
        <v>0</v>
      </c>
      <c r="V38" s="264">
        <v>0</v>
      </c>
      <c r="W38" s="264">
        <v>0</v>
      </c>
      <c r="X38" s="264">
        <v>139520.94839999999</v>
      </c>
      <c r="Y38" s="264">
        <v>281235.80819999997</v>
      </c>
      <c r="Z38" s="264">
        <v>255086.74764000002</v>
      </c>
    </row>
    <row r="39" spans="1:26" s="79" customFormat="1">
      <c r="A39" s="263" t="s">
        <v>486</v>
      </c>
      <c r="B39" s="264">
        <v>144774.93315</v>
      </c>
      <c r="C39" s="264">
        <v>0</v>
      </c>
      <c r="D39" s="264">
        <v>0</v>
      </c>
      <c r="E39" s="264">
        <v>0</v>
      </c>
      <c r="F39" s="264">
        <v>40259.605799999998</v>
      </c>
      <c r="G39" s="264">
        <v>0</v>
      </c>
      <c r="H39" s="264">
        <v>0</v>
      </c>
      <c r="I39" s="264">
        <v>0</v>
      </c>
      <c r="J39" s="264">
        <v>0</v>
      </c>
      <c r="K39" s="264">
        <v>0</v>
      </c>
      <c r="L39" s="264">
        <v>55430.537819999998</v>
      </c>
      <c r="M39" s="264">
        <v>44125.918649999992</v>
      </c>
      <c r="N39" s="264">
        <v>30194.70435</v>
      </c>
      <c r="O39" s="264">
        <v>0</v>
      </c>
      <c r="P39" s="264">
        <v>30194.70435</v>
      </c>
      <c r="Q39" s="264">
        <v>0</v>
      </c>
      <c r="R39" s="264">
        <v>30194.70435</v>
      </c>
      <c r="S39" s="264">
        <v>0</v>
      </c>
      <c r="T39" s="264">
        <v>100649.01449999999</v>
      </c>
      <c r="U39" s="264">
        <v>0</v>
      </c>
      <c r="V39" s="264">
        <v>0</v>
      </c>
      <c r="W39" s="264">
        <v>210123.21272999997</v>
      </c>
      <c r="X39" s="264">
        <v>0</v>
      </c>
      <c r="Y39" s="264">
        <v>59149.690979999992</v>
      </c>
      <c r="Z39" s="264">
        <v>20129.802899999999</v>
      </c>
    </row>
    <row r="40" spans="1:26" s="79" customFormat="1">
      <c r="A40" s="265" t="s">
        <v>487</v>
      </c>
      <c r="B40" s="264">
        <v>144774.93315</v>
      </c>
      <c r="C40" s="264">
        <v>0</v>
      </c>
      <c r="D40" s="264">
        <v>0</v>
      </c>
      <c r="E40" s="264">
        <v>0</v>
      </c>
      <c r="F40" s="264">
        <v>40259.605799999998</v>
      </c>
      <c r="G40" s="264">
        <v>0</v>
      </c>
      <c r="H40" s="264">
        <v>0</v>
      </c>
      <c r="I40" s="264">
        <v>0</v>
      </c>
      <c r="J40" s="264">
        <v>0</v>
      </c>
      <c r="K40" s="264">
        <v>0</v>
      </c>
      <c r="L40" s="264">
        <v>55430.537819999998</v>
      </c>
      <c r="M40" s="264">
        <v>44125.918649999992</v>
      </c>
      <c r="N40" s="264">
        <v>30194.70435</v>
      </c>
      <c r="O40" s="264">
        <v>0</v>
      </c>
      <c r="P40" s="264">
        <v>30194.70435</v>
      </c>
      <c r="Q40" s="264">
        <v>0</v>
      </c>
      <c r="R40" s="264">
        <v>30194.70435</v>
      </c>
      <c r="S40" s="264">
        <v>0</v>
      </c>
      <c r="T40" s="264">
        <v>100649.01449999999</v>
      </c>
      <c r="U40" s="264">
        <v>0</v>
      </c>
      <c r="V40" s="264">
        <v>0</v>
      </c>
      <c r="W40" s="264">
        <v>210123.21272999997</v>
      </c>
      <c r="X40" s="264">
        <v>0</v>
      </c>
      <c r="Y40" s="264">
        <v>59149.690979999992</v>
      </c>
      <c r="Z40" s="264">
        <v>20129.802899999999</v>
      </c>
    </row>
    <row r="41" spans="1:26" s="79" customFormat="1">
      <c r="A41" s="263" t="s">
        <v>458</v>
      </c>
      <c r="B41" s="264">
        <v>293471.96130000002</v>
      </c>
      <c r="C41" s="264">
        <v>19564.797420000003</v>
      </c>
      <c r="D41" s="264">
        <v>0</v>
      </c>
      <c r="E41" s="264">
        <v>0</v>
      </c>
      <c r="F41" s="264">
        <v>75109.394910000003</v>
      </c>
      <c r="G41" s="264">
        <v>0</v>
      </c>
      <c r="H41" s="264">
        <v>19564.797420000003</v>
      </c>
      <c r="I41" s="264">
        <v>0</v>
      </c>
      <c r="J41" s="264">
        <v>62066.196630000006</v>
      </c>
      <c r="K41" s="264">
        <v>0</v>
      </c>
      <c r="L41" s="264">
        <v>62066.196630000006</v>
      </c>
      <c r="M41" s="264">
        <v>0</v>
      </c>
      <c r="N41" s="264">
        <v>0</v>
      </c>
      <c r="O41" s="264">
        <v>0</v>
      </c>
      <c r="P41" s="264">
        <v>62066.196630000006</v>
      </c>
      <c r="Q41" s="264">
        <v>0</v>
      </c>
      <c r="R41" s="264">
        <v>62066.196630000006</v>
      </c>
      <c r="S41" s="264">
        <v>26086.396560000001</v>
      </c>
      <c r="T41" s="264">
        <v>0</v>
      </c>
      <c r="U41" s="264">
        <v>0</v>
      </c>
      <c r="V41" s="264">
        <v>6521.5991400000003</v>
      </c>
      <c r="W41" s="264">
        <v>0</v>
      </c>
      <c r="X41" s="264">
        <v>19564.797420000003</v>
      </c>
      <c r="Y41" s="264">
        <v>0</v>
      </c>
      <c r="Z41" s="264">
        <v>0</v>
      </c>
    </row>
    <row r="42" spans="1:26" s="79" customFormat="1">
      <c r="A42" s="265" t="s">
        <v>459</v>
      </c>
      <c r="B42" s="264">
        <v>293471.96130000002</v>
      </c>
      <c r="C42" s="264">
        <v>19564.797420000003</v>
      </c>
      <c r="D42" s="264">
        <v>0</v>
      </c>
      <c r="E42" s="264">
        <v>0</v>
      </c>
      <c r="F42" s="264">
        <v>75109.394910000003</v>
      </c>
      <c r="G42" s="264">
        <v>0</v>
      </c>
      <c r="H42" s="264">
        <v>19564.797420000003</v>
      </c>
      <c r="I42" s="264">
        <v>0</v>
      </c>
      <c r="J42" s="264">
        <v>62066.196630000006</v>
      </c>
      <c r="K42" s="264">
        <v>0</v>
      </c>
      <c r="L42" s="264">
        <v>62066.196630000006</v>
      </c>
      <c r="M42" s="264">
        <v>0</v>
      </c>
      <c r="N42" s="264">
        <v>0</v>
      </c>
      <c r="O42" s="264">
        <v>0</v>
      </c>
      <c r="P42" s="264">
        <v>62066.196630000006</v>
      </c>
      <c r="Q42" s="264">
        <v>0</v>
      </c>
      <c r="R42" s="264">
        <v>62066.196630000006</v>
      </c>
      <c r="S42" s="264">
        <v>26086.396560000001</v>
      </c>
      <c r="T42" s="264">
        <v>0</v>
      </c>
      <c r="U42" s="264">
        <v>0</v>
      </c>
      <c r="V42" s="264">
        <v>6521.5991400000003</v>
      </c>
      <c r="W42" s="264">
        <v>0</v>
      </c>
      <c r="X42" s="264">
        <v>19564.797420000003</v>
      </c>
      <c r="Y42" s="264">
        <v>0</v>
      </c>
      <c r="Z42" s="264">
        <v>0</v>
      </c>
    </row>
    <row r="43" spans="1:26" s="79" customFormat="1">
      <c r="A43" s="263" t="s">
        <v>469</v>
      </c>
      <c r="B43" s="264">
        <v>216803.45250000001</v>
      </c>
      <c r="C43" s="264">
        <v>19271.418000000001</v>
      </c>
      <c r="D43" s="264">
        <v>19271.418000000001</v>
      </c>
      <c r="E43" s="264">
        <v>0</v>
      </c>
      <c r="F43" s="264">
        <v>52996.399500000007</v>
      </c>
      <c r="G43" s="264">
        <v>0</v>
      </c>
      <c r="H43" s="264">
        <v>28907.127</v>
      </c>
      <c r="I43" s="264">
        <v>19271.418000000001</v>
      </c>
      <c r="J43" s="264">
        <v>38542.836000000003</v>
      </c>
      <c r="K43" s="264">
        <v>19271.418000000001</v>
      </c>
      <c r="L43" s="264">
        <v>19271.418000000001</v>
      </c>
      <c r="M43" s="264">
        <v>48178.545000000006</v>
      </c>
      <c r="N43" s="264">
        <v>14453.5635</v>
      </c>
      <c r="O43" s="264">
        <v>0</v>
      </c>
      <c r="P43" s="264">
        <v>19271.418000000001</v>
      </c>
      <c r="Q43" s="264">
        <v>72267.817500000005</v>
      </c>
      <c r="R43" s="264">
        <v>19271.418000000001</v>
      </c>
      <c r="S43" s="264">
        <v>48178.545000000006</v>
      </c>
      <c r="T43" s="264">
        <v>0</v>
      </c>
      <c r="U43" s="264">
        <v>48178.545000000006</v>
      </c>
      <c r="V43" s="264">
        <v>24089.272500000003</v>
      </c>
      <c r="W43" s="264">
        <v>28907.127</v>
      </c>
      <c r="X43" s="264">
        <v>19271.418000000001</v>
      </c>
      <c r="Y43" s="264">
        <v>9635.7090000000007</v>
      </c>
      <c r="Z43" s="264">
        <v>24089.272500000003</v>
      </c>
    </row>
    <row r="44" spans="1:26" s="79" customFormat="1">
      <c r="A44" s="265" t="s">
        <v>470</v>
      </c>
      <c r="B44" s="264">
        <v>216803.45250000001</v>
      </c>
      <c r="C44" s="264">
        <v>19271.418000000001</v>
      </c>
      <c r="D44" s="264">
        <v>19271.418000000001</v>
      </c>
      <c r="E44" s="264">
        <v>0</v>
      </c>
      <c r="F44" s="264">
        <v>52996.399500000007</v>
      </c>
      <c r="G44" s="264">
        <v>0</v>
      </c>
      <c r="H44" s="264">
        <v>28907.127</v>
      </c>
      <c r="I44" s="264">
        <v>19271.418000000001</v>
      </c>
      <c r="J44" s="264">
        <v>38542.836000000003</v>
      </c>
      <c r="K44" s="264">
        <v>19271.418000000001</v>
      </c>
      <c r="L44" s="264">
        <v>19271.418000000001</v>
      </c>
      <c r="M44" s="264">
        <v>48178.545000000006</v>
      </c>
      <c r="N44" s="264">
        <v>14453.5635</v>
      </c>
      <c r="O44" s="264">
        <v>0</v>
      </c>
      <c r="P44" s="264">
        <v>19271.418000000001</v>
      </c>
      <c r="Q44" s="264">
        <v>72267.817500000005</v>
      </c>
      <c r="R44" s="264">
        <v>19271.418000000001</v>
      </c>
      <c r="S44" s="264">
        <v>48178.545000000006</v>
      </c>
      <c r="T44" s="264">
        <v>0</v>
      </c>
      <c r="U44" s="264">
        <v>48178.545000000006</v>
      </c>
      <c r="V44" s="264">
        <v>24089.272500000003</v>
      </c>
      <c r="W44" s="264">
        <v>28907.127</v>
      </c>
      <c r="X44" s="264">
        <v>19271.418000000001</v>
      </c>
      <c r="Y44" s="264">
        <v>9635.7090000000007</v>
      </c>
      <c r="Z44" s="264">
        <v>24089.272500000003</v>
      </c>
    </row>
    <row r="45" spans="1:26" s="79" customFormat="1">
      <c r="A45" s="263" t="s">
        <v>455</v>
      </c>
      <c r="B45" s="264">
        <v>302035.93686000002</v>
      </c>
      <c r="C45" s="264">
        <v>0</v>
      </c>
      <c r="D45" s="264">
        <v>0</v>
      </c>
      <c r="E45" s="264">
        <v>0</v>
      </c>
      <c r="F45" s="264">
        <v>43797.704760000008</v>
      </c>
      <c r="G45" s="264">
        <v>0</v>
      </c>
      <c r="H45" s="264">
        <v>82601.692980000007</v>
      </c>
      <c r="I45" s="264">
        <v>28008.659520000001</v>
      </c>
      <c r="J45" s="264">
        <v>60704.586240000004</v>
      </c>
      <c r="K45" s="264">
        <v>0</v>
      </c>
      <c r="L45" s="264">
        <v>51079.328700000005</v>
      </c>
      <c r="M45" s="264">
        <v>29199.633600000001</v>
      </c>
      <c r="N45" s="264">
        <v>38535.853439999999</v>
      </c>
      <c r="O45" s="264">
        <v>0</v>
      </c>
      <c r="P45" s="264">
        <v>65390.107800000013</v>
      </c>
      <c r="Q45" s="264">
        <v>116798.5344</v>
      </c>
      <c r="R45" s="264">
        <v>65390.107800000013</v>
      </c>
      <c r="S45" s="264">
        <v>57071.607270000008</v>
      </c>
      <c r="T45" s="264">
        <v>87598.900800000003</v>
      </c>
      <c r="U45" s="264">
        <v>43203.963360000002</v>
      </c>
      <c r="V45" s="264">
        <v>77513.096430000005</v>
      </c>
      <c r="W45" s="264">
        <v>68618.266140000007</v>
      </c>
      <c r="X45" s="264">
        <v>29332.828170000001</v>
      </c>
      <c r="Y45" s="264">
        <v>39418.632540000006</v>
      </c>
      <c r="Z45" s="264">
        <v>87598.900800000003</v>
      </c>
    </row>
    <row r="46" spans="1:26" s="79" customFormat="1">
      <c r="A46" s="265" t="s">
        <v>456</v>
      </c>
      <c r="B46" s="264">
        <v>302035.93686000002</v>
      </c>
      <c r="C46" s="264">
        <v>0</v>
      </c>
      <c r="D46" s="264">
        <v>0</v>
      </c>
      <c r="E46" s="264">
        <v>0</v>
      </c>
      <c r="F46" s="264">
        <v>43797.704760000008</v>
      </c>
      <c r="G46" s="264">
        <v>0</v>
      </c>
      <c r="H46" s="264">
        <v>82601.692980000007</v>
      </c>
      <c r="I46" s="264">
        <v>28008.659520000001</v>
      </c>
      <c r="J46" s="264">
        <v>60704.586240000004</v>
      </c>
      <c r="K46" s="264">
        <v>0</v>
      </c>
      <c r="L46" s="264">
        <v>51079.328700000005</v>
      </c>
      <c r="M46" s="264">
        <v>29199.633600000001</v>
      </c>
      <c r="N46" s="264">
        <v>38535.853439999999</v>
      </c>
      <c r="O46" s="264">
        <v>0</v>
      </c>
      <c r="P46" s="264">
        <v>65390.107800000013</v>
      </c>
      <c r="Q46" s="264">
        <v>116798.5344</v>
      </c>
      <c r="R46" s="264">
        <v>65390.107800000013</v>
      </c>
      <c r="S46" s="264">
        <v>57071.607270000008</v>
      </c>
      <c r="T46" s="264">
        <v>87598.900800000003</v>
      </c>
      <c r="U46" s="264">
        <v>43203.963360000002</v>
      </c>
      <c r="V46" s="264">
        <v>77513.096430000005</v>
      </c>
      <c r="W46" s="264">
        <v>68618.266140000007</v>
      </c>
      <c r="X46" s="264">
        <v>29332.828170000001</v>
      </c>
      <c r="Y46" s="264">
        <v>39418.632540000006</v>
      </c>
      <c r="Z46" s="264">
        <v>87598.900800000003</v>
      </c>
    </row>
    <row r="47" spans="1:26" s="79" customFormat="1">
      <c r="A47" s="263" t="s">
        <v>446</v>
      </c>
      <c r="B47" s="264">
        <v>22827.734280000001</v>
      </c>
      <c r="C47" s="264">
        <v>5267.9386800000002</v>
      </c>
      <c r="D47" s="264">
        <v>0</v>
      </c>
      <c r="E47" s="264">
        <v>0</v>
      </c>
      <c r="F47" s="264">
        <v>5267.9386800000002</v>
      </c>
      <c r="G47" s="264">
        <v>0</v>
      </c>
      <c r="H47" s="264">
        <v>10535.87736</v>
      </c>
      <c r="I47" s="264">
        <v>0</v>
      </c>
      <c r="J47" s="264">
        <v>5267.9386800000002</v>
      </c>
      <c r="K47" s="264">
        <v>5267.9386800000002</v>
      </c>
      <c r="L47" s="264">
        <v>3511.95912</v>
      </c>
      <c r="M47" s="264">
        <v>8779.8978000000006</v>
      </c>
      <c r="N47" s="264">
        <v>5267.9386800000002</v>
      </c>
      <c r="O47" s="264">
        <v>0</v>
      </c>
      <c r="P47" s="264">
        <v>5267.9386800000002</v>
      </c>
      <c r="Q47" s="264">
        <v>0</v>
      </c>
      <c r="R47" s="264">
        <v>5267.9386800000002</v>
      </c>
      <c r="S47" s="264">
        <v>0</v>
      </c>
      <c r="T47" s="264">
        <v>0</v>
      </c>
      <c r="U47" s="264">
        <v>0</v>
      </c>
      <c r="V47" s="264">
        <v>5267.9386800000002</v>
      </c>
      <c r="W47" s="264">
        <v>0</v>
      </c>
      <c r="X47" s="264">
        <v>0</v>
      </c>
      <c r="Y47" s="264">
        <v>0</v>
      </c>
      <c r="Z47" s="264">
        <v>5267.9386800000002</v>
      </c>
    </row>
    <row r="48" spans="1:26" s="79" customFormat="1">
      <c r="A48" s="265" t="s">
        <v>447</v>
      </c>
      <c r="B48" s="264">
        <v>22827.734280000001</v>
      </c>
      <c r="C48" s="264">
        <v>5267.9386800000002</v>
      </c>
      <c r="D48" s="264">
        <v>0</v>
      </c>
      <c r="E48" s="264">
        <v>0</v>
      </c>
      <c r="F48" s="264">
        <v>5267.9386800000002</v>
      </c>
      <c r="G48" s="264">
        <v>0</v>
      </c>
      <c r="H48" s="264">
        <v>10535.87736</v>
      </c>
      <c r="I48" s="264">
        <v>0</v>
      </c>
      <c r="J48" s="264">
        <v>5267.9386800000002</v>
      </c>
      <c r="K48" s="264">
        <v>5267.9386800000002</v>
      </c>
      <c r="L48" s="264">
        <v>3511.95912</v>
      </c>
      <c r="M48" s="264">
        <v>8779.8978000000006</v>
      </c>
      <c r="N48" s="264">
        <v>5267.9386800000002</v>
      </c>
      <c r="O48" s="264">
        <v>0</v>
      </c>
      <c r="P48" s="264">
        <v>5267.9386800000002</v>
      </c>
      <c r="Q48" s="264">
        <v>0</v>
      </c>
      <c r="R48" s="264">
        <v>5267.9386800000002</v>
      </c>
      <c r="S48" s="264">
        <v>0</v>
      </c>
      <c r="T48" s="264">
        <v>0</v>
      </c>
      <c r="U48" s="264">
        <v>0</v>
      </c>
      <c r="V48" s="264">
        <v>5267.9386800000002</v>
      </c>
      <c r="W48" s="264">
        <v>0</v>
      </c>
      <c r="X48" s="264">
        <v>0</v>
      </c>
      <c r="Y48" s="264">
        <v>0</v>
      </c>
      <c r="Z48" s="264">
        <v>5267.9386800000002</v>
      </c>
    </row>
    <row r="49" spans="1:26" s="79" customFormat="1">
      <c r="A49" s="263" t="s">
        <v>443</v>
      </c>
      <c r="B49" s="264">
        <v>422313.28560000006</v>
      </c>
      <c r="C49" s="264">
        <v>26394.580350000004</v>
      </c>
      <c r="D49" s="264">
        <v>26394.580350000004</v>
      </c>
      <c r="E49" s="264">
        <v>0</v>
      </c>
      <c r="F49" s="264">
        <v>26394.580350000004</v>
      </c>
      <c r="G49" s="264">
        <v>0</v>
      </c>
      <c r="H49" s="264">
        <v>43990.967250000002</v>
      </c>
      <c r="I49" s="264">
        <v>0</v>
      </c>
      <c r="J49" s="264">
        <v>17596.386900000001</v>
      </c>
      <c r="K49" s="264">
        <v>26394.580350000004</v>
      </c>
      <c r="L49" s="264">
        <v>26394.580350000004</v>
      </c>
      <c r="M49" s="264">
        <v>0</v>
      </c>
      <c r="N49" s="264">
        <v>0</v>
      </c>
      <c r="O49" s="264">
        <v>0</v>
      </c>
      <c r="P49" s="264">
        <v>26394.580350000004</v>
      </c>
      <c r="Q49" s="264">
        <v>0</v>
      </c>
      <c r="R49" s="264">
        <v>26394.580350000004</v>
      </c>
      <c r="S49" s="264">
        <v>43990.967250000002</v>
      </c>
      <c r="T49" s="264">
        <v>0</v>
      </c>
      <c r="U49" s="264">
        <v>0</v>
      </c>
      <c r="V49" s="264">
        <v>26394.580350000004</v>
      </c>
      <c r="W49" s="264">
        <v>17596.386900000001</v>
      </c>
      <c r="X49" s="264">
        <v>0</v>
      </c>
      <c r="Y49" s="264">
        <v>0</v>
      </c>
      <c r="Z49" s="264">
        <v>0</v>
      </c>
    </row>
    <row r="50" spans="1:26" s="79" customFormat="1">
      <c r="A50" s="265" t="s">
        <v>444</v>
      </c>
      <c r="B50" s="264">
        <v>422313.28560000006</v>
      </c>
      <c r="C50" s="264">
        <v>26394.580350000004</v>
      </c>
      <c r="D50" s="264">
        <v>26394.580350000004</v>
      </c>
      <c r="E50" s="264">
        <v>0</v>
      </c>
      <c r="F50" s="264">
        <v>26394.580350000004</v>
      </c>
      <c r="G50" s="264">
        <v>0</v>
      </c>
      <c r="H50" s="264">
        <v>43990.967250000002</v>
      </c>
      <c r="I50" s="264">
        <v>0</v>
      </c>
      <c r="J50" s="264">
        <v>17596.386900000001</v>
      </c>
      <c r="K50" s="264">
        <v>26394.580350000004</v>
      </c>
      <c r="L50" s="264">
        <v>26394.580350000004</v>
      </c>
      <c r="M50" s="264">
        <v>0</v>
      </c>
      <c r="N50" s="264">
        <v>0</v>
      </c>
      <c r="O50" s="264">
        <v>0</v>
      </c>
      <c r="P50" s="264">
        <v>26394.580350000004</v>
      </c>
      <c r="Q50" s="264">
        <v>0</v>
      </c>
      <c r="R50" s="264">
        <v>26394.580350000004</v>
      </c>
      <c r="S50" s="264">
        <v>43990.967250000002</v>
      </c>
      <c r="T50" s="264">
        <v>0</v>
      </c>
      <c r="U50" s="264">
        <v>0</v>
      </c>
      <c r="V50" s="264">
        <v>26394.580350000004</v>
      </c>
      <c r="W50" s="264">
        <v>17596.386900000001</v>
      </c>
      <c r="X50" s="264">
        <v>0</v>
      </c>
      <c r="Y50" s="264">
        <v>0</v>
      </c>
      <c r="Z50" s="264">
        <v>0</v>
      </c>
    </row>
    <row r="51" spans="1:26" s="79" customFormat="1">
      <c r="A51" s="263" t="s">
        <v>449</v>
      </c>
      <c r="B51" s="264">
        <v>11988.01485</v>
      </c>
      <c r="C51" s="264">
        <v>7192.8089099999997</v>
      </c>
      <c r="D51" s="264">
        <v>0</v>
      </c>
      <c r="E51" s="264">
        <v>0</v>
      </c>
      <c r="F51" s="264">
        <v>7192.8089099999997</v>
      </c>
      <c r="G51" s="264">
        <v>0</v>
      </c>
      <c r="H51" s="264">
        <v>7192.8089099999997</v>
      </c>
      <c r="I51" s="264">
        <v>0</v>
      </c>
      <c r="J51" s="264">
        <v>7192.8089099999997</v>
      </c>
      <c r="K51" s="264">
        <v>7192.8089099999997</v>
      </c>
      <c r="L51" s="264">
        <v>7192.8089099999997</v>
      </c>
      <c r="M51" s="264">
        <v>9590.4118799999997</v>
      </c>
      <c r="N51" s="264">
        <v>0</v>
      </c>
      <c r="O51" s="264">
        <v>0</v>
      </c>
      <c r="P51" s="264">
        <v>7192.8089099999997</v>
      </c>
      <c r="Q51" s="264">
        <v>0</v>
      </c>
      <c r="R51" s="264">
        <v>7192.8089099999997</v>
      </c>
      <c r="S51" s="264">
        <v>0</v>
      </c>
      <c r="T51" s="264">
        <v>0</v>
      </c>
      <c r="U51" s="264">
        <v>0</v>
      </c>
      <c r="V51" s="264">
        <v>2397.6029699999999</v>
      </c>
      <c r="W51" s="264">
        <v>0</v>
      </c>
      <c r="X51" s="264">
        <v>4795.2059399999998</v>
      </c>
      <c r="Y51" s="264">
        <v>0</v>
      </c>
      <c r="Z51" s="264">
        <v>0</v>
      </c>
    </row>
    <row r="52" spans="1:26" s="79" customFormat="1">
      <c r="A52" s="265" t="s">
        <v>450</v>
      </c>
      <c r="B52" s="264">
        <v>11988.01485</v>
      </c>
      <c r="C52" s="264">
        <v>7192.8089099999997</v>
      </c>
      <c r="D52" s="264">
        <v>0</v>
      </c>
      <c r="E52" s="264">
        <v>0</v>
      </c>
      <c r="F52" s="264">
        <v>7192.8089099999997</v>
      </c>
      <c r="G52" s="264">
        <v>0</v>
      </c>
      <c r="H52" s="264">
        <v>7192.8089099999997</v>
      </c>
      <c r="I52" s="264">
        <v>0</v>
      </c>
      <c r="J52" s="264">
        <v>7192.8089099999997</v>
      </c>
      <c r="K52" s="264">
        <v>7192.8089099999997</v>
      </c>
      <c r="L52" s="264">
        <v>7192.8089099999997</v>
      </c>
      <c r="M52" s="264">
        <v>9590.4118799999997</v>
      </c>
      <c r="N52" s="264">
        <v>0</v>
      </c>
      <c r="O52" s="264">
        <v>0</v>
      </c>
      <c r="P52" s="264">
        <v>7192.8089099999997</v>
      </c>
      <c r="Q52" s="264">
        <v>0</v>
      </c>
      <c r="R52" s="264">
        <v>7192.8089099999997</v>
      </c>
      <c r="S52" s="264">
        <v>0</v>
      </c>
      <c r="T52" s="264">
        <v>0</v>
      </c>
      <c r="U52" s="264">
        <v>0</v>
      </c>
      <c r="V52" s="264">
        <v>2397.6029699999999</v>
      </c>
      <c r="W52" s="264">
        <v>0</v>
      </c>
      <c r="X52" s="264">
        <v>4795.2059399999998</v>
      </c>
      <c r="Y52" s="264">
        <v>0</v>
      </c>
      <c r="Z52" s="264">
        <v>0</v>
      </c>
    </row>
    <row r="53" spans="1:26" s="79" customFormat="1">
      <c r="A53" s="263" t="s">
        <v>452</v>
      </c>
      <c r="B53" s="264">
        <v>72795.515520000001</v>
      </c>
      <c r="C53" s="264">
        <v>4199.7412800000002</v>
      </c>
      <c r="D53" s="264">
        <v>0</v>
      </c>
      <c r="E53" s="264">
        <v>0</v>
      </c>
      <c r="F53" s="264">
        <v>11199.310079999999</v>
      </c>
      <c r="G53" s="264">
        <v>0</v>
      </c>
      <c r="H53" s="264">
        <v>4199.7412800000002</v>
      </c>
      <c r="I53" s="264">
        <v>0</v>
      </c>
      <c r="J53" s="264">
        <v>4199.7412800000002</v>
      </c>
      <c r="K53" s="264">
        <v>4199.7412800000002</v>
      </c>
      <c r="L53" s="264">
        <v>2799.8275199999998</v>
      </c>
      <c r="M53" s="264">
        <v>0</v>
      </c>
      <c r="N53" s="264">
        <v>0</v>
      </c>
      <c r="O53" s="264">
        <v>0</v>
      </c>
      <c r="P53" s="264">
        <v>4199.7412800000002</v>
      </c>
      <c r="Q53" s="264">
        <v>0</v>
      </c>
      <c r="R53" s="264">
        <v>4199.7412800000002</v>
      </c>
      <c r="S53" s="264">
        <v>8399.4825600000004</v>
      </c>
      <c r="T53" s="264">
        <v>0</v>
      </c>
      <c r="U53" s="264">
        <v>0</v>
      </c>
      <c r="V53" s="264">
        <v>4199.7412800000002</v>
      </c>
      <c r="W53" s="264">
        <v>0</v>
      </c>
      <c r="X53" s="264">
        <v>0</v>
      </c>
      <c r="Y53" s="264">
        <v>0</v>
      </c>
      <c r="Z53" s="264">
        <v>0</v>
      </c>
    </row>
    <row r="54" spans="1:26" s="79" customFormat="1">
      <c r="A54" s="265" t="s">
        <v>453</v>
      </c>
      <c r="B54" s="264">
        <v>72795.515520000001</v>
      </c>
      <c r="C54" s="264">
        <v>4199.7412800000002</v>
      </c>
      <c r="D54" s="264">
        <v>0</v>
      </c>
      <c r="E54" s="264">
        <v>0</v>
      </c>
      <c r="F54" s="264">
        <v>11199.310079999999</v>
      </c>
      <c r="G54" s="264">
        <v>0</v>
      </c>
      <c r="H54" s="264">
        <v>4199.7412800000002</v>
      </c>
      <c r="I54" s="264">
        <v>0</v>
      </c>
      <c r="J54" s="264">
        <v>4199.7412800000002</v>
      </c>
      <c r="K54" s="264">
        <v>4199.7412800000002</v>
      </c>
      <c r="L54" s="264">
        <v>2799.8275199999998</v>
      </c>
      <c r="M54" s="264">
        <v>0</v>
      </c>
      <c r="N54" s="264">
        <v>0</v>
      </c>
      <c r="O54" s="264">
        <v>0</v>
      </c>
      <c r="P54" s="264">
        <v>4199.7412800000002</v>
      </c>
      <c r="Q54" s="264">
        <v>0</v>
      </c>
      <c r="R54" s="264">
        <v>4199.7412800000002</v>
      </c>
      <c r="S54" s="264">
        <v>8399.4825600000004</v>
      </c>
      <c r="T54" s="264">
        <v>0</v>
      </c>
      <c r="U54" s="264">
        <v>0</v>
      </c>
      <c r="V54" s="264">
        <v>4199.7412800000002</v>
      </c>
      <c r="W54" s="264">
        <v>0</v>
      </c>
      <c r="X54" s="264">
        <v>0</v>
      </c>
      <c r="Y54" s="264">
        <v>0</v>
      </c>
      <c r="Z54" s="264">
        <v>0</v>
      </c>
    </row>
    <row r="55" spans="1:26" s="79" customFormat="1">
      <c r="A55" s="263" t="s">
        <v>461</v>
      </c>
      <c r="B55" s="264">
        <v>19906.058850000001</v>
      </c>
      <c r="C55" s="264">
        <v>0</v>
      </c>
      <c r="D55" s="264">
        <v>0</v>
      </c>
      <c r="E55" s="264">
        <v>0</v>
      </c>
      <c r="F55" s="264">
        <v>15924.84708</v>
      </c>
      <c r="G55" s="264">
        <v>0</v>
      </c>
      <c r="H55" s="264">
        <v>19906.058850000001</v>
      </c>
      <c r="I55" s="264">
        <v>0</v>
      </c>
      <c r="J55" s="264">
        <v>11943.63531</v>
      </c>
      <c r="K55" s="264">
        <v>11943.63531</v>
      </c>
      <c r="L55" s="264">
        <v>11943.63531</v>
      </c>
      <c r="M55" s="264">
        <v>0</v>
      </c>
      <c r="N55" s="264">
        <v>11943.63531</v>
      </c>
      <c r="O55" s="264">
        <v>0</v>
      </c>
      <c r="P55" s="264">
        <v>11943.63531</v>
      </c>
      <c r="Q55" s="264">
        <v>0</v>
      </c>
      <c r="R55" s="264">
        <v>11943.63531</v>
      </c>
      <c r="S55" s="264">
        <v>11943.63531</v>
      </c>
      <c r="T55" s="264">
        <v>0</v>
      </c>
      <c r="U55" s="264">
        <v>0</v>
      </c>
      <c r="V55" s="264">
        <v>11943.63531</v>
      </c>
      <c r="W55" s="264">
        <v>0</v>
      </c>
      <c r="X55" s="264">
        <v>11943.63531</v>
      </c>
      <c r="Y55" s="264">
        <v>0</v>
      </c>
      <c r="Z55" s="264">
        <v>0</v>
      </c>
    </row>
    <row r="56" spans="1:26" s="79" customFormat="1">
      <c r="A56" s="265" t="s">
        <v>462</v>
      </c>
      <c r="B56" s="264">
        <v>19906.058850000001</v>
      </c>
      <c r="C56" s="264">
        <v>0</v>
      </c>
      <c r="D56" s="264">
        <v>0</v>
      </c>
      <c r="E56" s="264">
        <v>0</v>
      </c>
      <c r="F56" s="264">
        <v>15924.84708</v>
      </c>
      <c r="G56" s="264">
        <v>0</v>
      </c>
      <c r="H56" s="264">
        <v>19906.058850000001</v>
      </c>
      <c r="I56" s="264">
        <v>0</v>
      </c>
      <c r="J56" s="264">
        <v>11943.63531</v>
      </c>
      <c r="K56" s="264">
        <v>11943.63531</v>
      </c>
      <c r="L56" s="264">
        <v>11943.63531</v>
      </c>
      <c r="M56" s="264">
        <v>0</v>
      </c>
      <c r="N56" s="264">
        <v>11943.63531</v>
      </c>
      <c r="O56" s="264">
        <v>0</v>
      </c>
      <c r="P56" s="264">
        <v>11943.63531</v>
      </c>
      <c r="Q56" s="264">
        <v>0</v>
      </c>
      <c r="R56" s="264">
        <v>11943.63531</v>
      </c>
      <c r="S56" s="264">
        <v>11943.63531</v>
      </c>
      <c r="T56" s="264">
        <v>0</v>
      </c>
      <c r="U56" s="264">
        <v>0</v>
      </c>
      <c r="V56" s="264">
        <v>11943.63531</v>
      </c>
      <c r="W56" s="264">
        <v>0</v>
      </c>
      <c r="X56" s="264">
        <v>11943.63531</v>
      </c>
      <c r="Y56" s="264">
        <v>0</v>
      </c>
      <c r="Z56" s="264">
        <v>0</v>
      </c>
    </row>
    <row r="57" spans="1:26" s="79" customFormat="1">
      <c r="A57" s="263" t="s">
        <v>466</v>
      </c>
      <c r="B57" s="264">
        <v>178645.4406</v>
      </c>
      <c r="C57" s="264">
        <v>19849.493399999999</v>
      </c>
      <c r="D57" s="264">
        <v>0</v>
      </c>
      <c r="E57" s="264">
        <v>0</v>
      </c>
      <c r="F57" s="264">
        <v>19849.493399999999</v>
      </c>
      <c r="G57" s="264">
        <v>0</v>
      </c>
      <c r="H57" s="264">
        <v>19849.493399999999</v>
      </c>
      <c r="I57" s="264">
        <v>0</v>
      </c>
      <c r="J57" s="264">
        <v>19849.493399999999</v>
      </c>
      <c r="K57" s="264">
        <v>19849.493399999999</v>
      </c>
      <c r="L57" s="264">
        <v>19849.493399999999</v>
      </c>
      <c r="M57" s="264">
        <v>0</v>
      </c>
      <c r="N57" s="264">
        <v>0</v>
      </c>
      <c r="O57" s="264">
        <v>0</v>
      </c>
      <c r="P57" s="264">
        <v>19849.493399999999</v>
      </c>
      <c r="Q57" s="264">
        <v>19849.493399999999</v>
      </c>
      <c r="R57" s="264">
        <v>19849.493399999999</v>
      </c>
      <c r="S57" s="264">
        <v>0</v>
      </c>
      <c r="T57" s="264">
        <v>0</v>
      </c>
      <c r="U57" s="264">
        <v>0</v>
      </c>
      <c r="V57" s="264">
        <v>7939.7973599999996</v>
      </c>
      <c r="W57" s="264">
        <v>7939.7973599999996</v>
      </c>
      <c r="X57" s="264">
        <v>0</v>
      </c>
      <c r="Y57" s="264">
        <v>0</v>
      </c>
      <c r="Z57" s="264">
        <v>0</v>
      </c>
    </row>
    <row r="58" spans="1:26" s="79" customFormat="1">
      <c r="A58" s="265" t="s">
        <v>467</v>
      </c>
      <c r="B58" s="264">
        <v>178645.4406</v>
      </c>
      <c r="C58" s="264">
        <v>19849.493399999999</v>
      </c>
      <c r="D58" s="264">
        <v>0</v>
      </c>
      <c r="E58" s="264">
        <v>0</v>
      </c>
      <c r="F58" s="264">
        <v>19849.493399999999</v>
      </c>
      <c r="G58" s="264">
        <v>0</v>
      </c>
      <c r="H58" s="264">
        <v>19849.493399999999</v>
      </c>
      <c r="I58" s="264">
        <v>0</v>
      </c>
      <c r="J58" s="264">
        <v>19849.493399999999</v>
      </c>
      <c r="K58" s="264">
        <v>19849.493399999999</v>
      </c>
      <c r="L58" s="264">
        <v>19849.493399999999</v>
      </c>
      <c r="M58" s="264">
        <v>0</v>
      </c>
      <c r="N58" s="264">
        <v>0</v>
      </c>
      <c r="O58" s="264">
        <v>0</v>
      </c>
      <c r="P58" s="264">
        <v>19849.493399999999</v>
      </c>
      <c r="Q58" s="264">
        <v>19849.493399999999</v>
      </c>
      <c r="R58" s="264">
        <v>19849.493399999999</v>
      </c>
      <c r="S58" s="264">
        <v>0</v>
      </c>
      <c r="T58" s="264">
        <v>0</v>
      </c>
      <c r="U58" s="264">
        <v>0</v>
      </c>
      <c r="V58" s="264">
        <v>7939.7973599999996</v>
      </c>
      <c r="W58" s="264">
        <v>7939.7973599999996</v>
      </c>
      <c r="X58" s="264">
        <v>0</v>
      </c>
      <c r="Y58" s="264">
        <v>0</v>
      </c>
      <c r="Z58" s="264">
        <v>0</v>
      </c>
    </row>
    <row r="59" spans="1:26" s="79" customFormat="1">
      <c r="A59" s="263" t="s">
        <v>482</v>
      </c>
      <c r="B59" s="264">
        <v>258751.87547999999</v>
      </c>
      <c r="C59" s="264">
        <v>0</v>
      </c>
      <c r="D59" s="264">
        <v>29723.728439999999</v>
      </c>
      <c r="E59" s="264">
        <v>0</v>
      </c>
      <c r="F59" s="264">
        <v>68193.426599999992</v>
      </c>
      <c r="G59" s="264">
        <v>0</v>
      </c>
      <c r="H59" s="264">
        <v>31466.638079999997</v>
      </c>
      <c r="I59" s="264">
        <v>0</v>
      </c>
      <c r="J59" s="264">
        <v>24479.288759999999</v>
      </c>
      <c r="K59" s="264">
        <v>29723.728439999999</v>
      </c>
      <c r="L59" s="264">
        <v>31474.493459999998</v>
      </c>
      <c r="M59" s="264">
        <v>24479.288759999999</v>
      </c>
      <c r="N59" s="264">
        <v>36718.933139999994</v>
      </c>
      <c r="O59" s="264">
        <v>29723.728439999999</v>
      </c>
      <c r="P59" s="264">
        <v>29723.728439999999</v>
      </c>
      <c r="Q59" s="264">
        <v>174880.11749999999</v>
      </c>
      <c r="R59" s="264">
        <v>29723.728439999999</v>
      </c>
      <c r="S59" s="264">
        <v>31466.638079999997</v>
      </c>
      <c r="T59" s="264">
        <v>96174.2454</v>
      </c>
      <c r="U59" s="264">
        <v>66442.66158</v>
      </c>
      <c r="V59" s="264">
        <v>52452.252179999996</v>
      </c>
      <c r="W59" s="264">
        <v>15733.319039999998</v>
      </c>
      <c r="X59" s="264">
        <v>36718.933139999994</v>
      </c>
      <c r="Y59" s="264">
        <v>0</v>
      </c>
      <c r="Z59" s="264">
        <v>10488.879359999999</v>
      </c>
    </row>
    <row r="60" spans="1:26" s="79" customFormat="1">
      <c r="A60" s="265" t="s">
        <v>483</v>
      </c>
      <c r="B60" s="264">
        <v>258751.87547999999</v>
      </c>
      <c r="C60" s="264">
        <v>0</v>
      </c>
      <c r="D60" s="264">
        <v>29723.728439999999</v>
      </c>
      <c r="E60" s="264">
        <v>0</v>
      </c>
      <c r="F60" s="264">
        <v>68193.426599999992</v>
      </c>
      <c r="G60" s="264">
        <v>0</v>
      </c>
      <c r="H60" s="264">
        <v>31466.638079999997</v>
      </c>
      <c r="I60" s="264">
        <v>0</v>
      </c>
      <c r="J60" s="264">
        <v>24479.288759999999</v>
      </c>
      <c r="K60" s="264">
        <v>29723.728439999999</v>
      </c>
      <c r="L60" s="264">
        <v>31474.493459999998</v>
      </c>
      <c r="M60" s="264">
        <v>24479.288759999999</v>
      </c>
      <c r="N60" s="264">
        <v>36718.933139999994</v>
      </c>
      <c r="O60" s="264">
        <v>29723.728439999999</v>
      </c>
      <c r="P60" s="264">
        <v>29723.728439999999</v>
      </c>
      <c r="Q60" s="264">
        <v>174880.11749999999</v>
      </c>
      <c r="R60" s="264">
        <v>29723.728439999999</v>
      </c>
      <c r="S60" s="264">
        <v>31466.638079999997</v>
      </c>
      <c r="T60" s="264">
        <v>96174.2454</v>
      </c>
      <c r="U60" s="264">
        <v>66442.66158</v>
      </c>
      <c r="V60" s="264">
        <v>52452.252179999996</v>
      </c>
      <c r="W60" s="264">
        <v>15733.319039999998</v>
      </c>
      <c r="X60" s="264">
        <v>36718.933139999994</v>
      </c>
      <c r="Y60" s="264">
        <v>0</v>
      </c>
      <c r="Z60" s="264">
        <v>10488.879359999999</v>
      </c>
    </row>
    <row r="61" spans="1:26" s="79" customFormat="1">
      <c r="A61" s="263" t="s">
        <v>472</v>
      </c>
      <c r="B61" s="264">
        <v>1638235.5825</v>
      </c>
      <c r="C61" s="264">
        <v>148641.31314000001</v>
      </c>
      <c r="D61" s="264">
        <v>0</v>
      </c>
      <c r="E61" s="264">
        <v>0</v>
      </c>
      <c r="F61" s="264">
        <v>345229.58304000006</v>
      </c>
      <c r="G61" s="264">
        <v>0</v>
      </c>
      <c r="H61" s="264">
        <v>100694.35638000001</v>
      </c>
      <c r="I61" s="264">
        <v>100694.35638000001</v>
      </c>
      <c r="J61" s="264">
        <v>0</v>
      </c>
      <c r="K61" s="264">
        <v>182206.09860000003</v>
      </c>
      <c r="L61" s="264">
        <v>166223.77968000004</v>
      </c>
      <c r="M61" s="264">
        <v>207770.14595999999</v>
      </c>
      <c r="N61" s="264">
        <v>0</v>
      </c>
      <c r="O61" s="264">
        <v>0</v>
      </c>
      <c r="P61" s="264">
        <v>47946.956760000001</v>
      </c>
      <c r="Q61" s="264">
        <v>0</v>
      </c>
      <c r="R61" s="264">
        <v>47946.956760000001</v>
      </c>
      <c r="S61" s="264">
        <v>147841.23933000001</v>
      </c>
      <c r="T61" s="264">
        <v>0</v>
      </c>
      <c r="U61" s="264">
        <v>98294.134950000007</v>
      </c>
      <c r="V61" s="264">
        <v>113476.38006</v>
      </c>
      <c r="W61" s="264">
        <v>0</v>
      </c>
      <c r="X61" s="264">
        <v>0</v>
      </c>
      <c r="Y61" s="264">
        <v>0</v>
      </c>
      <c r="Z61" s="264">
        <v>0</v>
      </c>
    </row>
    <row r="62" spans="1:26" s="79" customFormat="1">
      <c r="A62" s="265" t="s">
        <v>473</v>
      </c>
      <c r="B62" s="264">
        <v>1638235.5825</v>
      </c>
      <c r="C62" s="264">
        <v>148641.31314000001</v>
      </c>
      <c r="D62" s="264">
        <v>0</v>
      </c>
      <c r="E62" s="264">
        <v>0</v>
      </c>
      <c r="F62" s="264">
        <v>345229.58304000006</v>
      </c>
      <c r="G62" s="264">
        <v>0</v>
      </c>
      <c r="H62" s="264">
        <v>100694.35638000001</v>
      </c>
      <c r="I62" s="264">
        <v>100694.35638000001</v>
      </c>
      <c r="J62" s="264">
        <v>0</v>
      </c>
      <c r="K62" s="264">
        <v>182206.09860000003</v>
      </c>
      <c r="L62" s="264">
        <v>166223.77968000004</v>
      </c>
      <c r="M62" s="264">
        <v>207770.14595999999</v>
      </c>
      <c r="N62" s="264">
        <v>0</v>
      </c>
      <c r="O62" s="264">
        <v>0</v>
      </c>
      <c r="P62" s="264">
        <v>47946.956760000001</v>
      </c>
      <c r="Q62" s="264">
        <v>0</v>
      </c>
      <c r="R62" s="264">
        <v>47946.956760000001</v>
      </c>
      <c r="S62" s="264">
        <v>147841.23933000001</v>
      </c>
      <c r="T62" s="264">
        <v>0</v>
      </c>
      <c r="U62" s="264">
        <v>98294.134950000007</v>
      </c>
      <c r="V62" s="264">
        <v>113476.38006</v>
      </c>
      <c r="W62" s="264">
        <v>0</v>
      </c>
      <c r="X62" s="264">
        <v>0</v>
      </c>
      <c r="Y62" s="264">
        <v>0</v>
      </c>
      <c r="Z62" s="264">
        <v>0</v>
      </c>
    </row>
    <row r="63" spans="1:26" s="79" customFormat="1">
      <c r="A63" s="263" t="s">
        <v>475</v>
      </c>
      <c r="B63" s="264">
        <v>2120935.22193</v>
      </c>
      <c r="C63" s="264">
        <v>58308.717720000001</v>
      </c>
      <c r="D63" s="264">
        <v>13175.531219999999</v>
      </c>
      <c r="E63" s="264">
        <v>0</v>
      </c>
      <c r="F63" s="264">
        <v>428905.49364</v>
      </c>
      <c r="G63" s="264">
        <v>0</v>
      </c>
      <c r="H63" s="264">
        <v>178710.62235000002</v>
      </c>
      <c r="I63" s="264">
        <v>58308.717720000001</v>
      </c>
      <c r="J63" s="264">
        <v>90874.04595</v>
      </c>
      <c r="K63" s="264">
        <v>90874.04595</v>
      </c>
      <c r="L63" s="264">
        <v>97461.811559999987</v>
      </c>
      <c r="M63" s="264">
        <v>437315.38290000003</v>
      </c>
      <c r="N63" s="264">
        <v>12926.53134</v>
      </c>
      <c r="O63" s="264">
        <v>0</v>
      </c>
      <c r="P63" s="264">
        <v>90874.04595</v>
      </c>
      <c r="Q63" s="264">
        <v>298863.52710000001</v>
      </c>
      <c r="R63" s="264">
        <v>90874.04595</v>
      </c>
      <c r="S63" s="264">
        <v>210902.45076000001</v>
      </c>
      <c r="T63" s="264">
        <v>52702.124879999996</v>
      </c>
      <c r="U63" s="264">
        <v>145771.79430000001</v>
      </c>
      <c r="V63" s="264">
        <v>45865.359389999998</v>
      </c>
      <c r="W63" s="264">
        <v>0</v>
      </c>
      <c r="X63" s="264">
        <v>32689.828170000001</v>
      </c>
      <c r="Y63" s="264">
        <v>0</v>
      </c>
      <c r="Z63" s="264">
        <v>0</v>
      </c>
    </row>
    <row r="64" spans="1:26" s="79" customFormat="1">
      <c r="A64" s="265" t="s">
        <v>476</v>
      </c>
      <c r="B64" s="264">
        <v>2120935.22193</v>
      </c>
      <c r="C64" s="264">
        <v>58308.717720000001</v>
      </c>
      <c r="D64" s="264">
        <v>13175.531219999999</v>
      </c>
      <c r="E64" s="264">
        <v>0</v>
      </c>
      <c r="F64" s="264">
        <v>428905.49364</v>
      </c>
      <c r="G64" s="264">
        <v>0</v>
      </c>
      <c r="H64" s="264">
        <v>178710.62235000002</v>
      </c>
      <c r="I64" s="264">
        <v>58308.717720000001</v>
      </c>
      <c r="J64" s="264">
        <v>90874.04595</v>
      </c>
      <c r="K64" s="264">
        <v>90874.04595</v>
      </c>
      <c r="L64" s="264">
        <v>97461.811559999987</v>
      </c>
      <c r="M64" s="264">
        <v>437315.38290000003</v>
      </c>
      <c r="N64" s="264">
        <v>12926.53134</v>
      </c>
      <c r="O64" s="264">
        <v>0</v>
      </c>
      <c r="P64" s="264">
        <v>90874.04595</v>
      </c>
      <c r="Q64" s="264">
        <v>298863.52710000001</v>
      </c>
      <c r="R64" s="264">
        <v>90874.04595</v>
      </c>
      <c r="S64" s="264">
        <v>210902.45076000001</v>
      </c>
      <c r="T64" s="264">
        <v>52702.124879999996</v>
      </c>
      <c r="U64" s="264">
        <v>145771.79430000001</v>
      </c>
      <c r="V64" s="264">
        <v>45865.359389999998</v>
      </c>
      <c r="W64" s="264">
        <v>0</v>
      </c>
      <c r="X64" s="264">
        <v>32689.828170000001</v>
      </c>
      <c r="Y64" s="264">
        <v>0</v>
      </c>
      <c r="Z64" s="264">
        <v>0</v>
      </c>
    </row>
    <row r="65" spans="1:26" s="79" customFormat="1">
      <c r="A65" s="263" t="s">
        <v>535</v>
      </c>
      <c r="B65" s="264">
        <v>1037155.8364499999</v>
      </c>
      <c r="C65" s="264">
        <v>94393.300950000004</v>
      </c>
      <c r="D65" s="264">
        <v>65319.879359999999</v>
      </c>
      <c r="E65" s="264">
        <v>0</v>
      </c>
      <c r="F65" s="264">
        <v>791353.12968000001</v>
      </c>
      <c r="G65" s="264">
        <v>0</v>
      </c>
      <c r="H65" s="264">
        <v>83015.085149999999</v>
      </c>
      <c r="I65" s="264">
        <v>16819.800900000002</v>
      </c>
      <c r="J65" s="264">
        <v>155788.22066999998</v>
      </c>
      <c r="K65" s="264">
        <v>33478.577700000002</v>
      </c>
      <c r="L65" s="264">
        <v>69191.048669999989</v>
      </c>
      <c r="M65" s="264">
        <v>4258.6902</v>
      </c>
      <c r="N65" s="264">
        <v>61007.824050000003</v>
      </c>
      <c r="O65" s="264">
        <v>23801.062859999998</v>
      </c>
      <c r="P65" s="264">
        <v>82099.060559999998</v>
      </c>
      <c r="Q65" s="264">
        <v>7796.1289500000003</v>
      </c>
      <c r="R65" s="264">
        <v>57556.52592</v>
      </c>
      <c r="S65" s="264">
        <v>50813.566200000001</v>
      </c>
      <c r="T65" s="264">
        <v>49297.209300000002</v>
      </c>
      <c r="U65" s="264">
        <v>152733.65279999998</v>
      </c>
      <c r="V65" s="264">
        <v>45244.638900000005</v>
      </c>
      <c r="W65" s="264">
        <v>0</v>
      </c>
      <c r="X65" s="264">
        <v>62073.168000000005</v>
      </c>
      <c r="Y65" s="264">
        <v>216492.93</v>
      </c>
      <c r="Z65" s="264">
        <v>14857.533690000002</v>
      </c>
    </row>
    <row r="66" spans="1:26" s="79" customFormat="1">
      <c r="A66" s="265" t="s">
        <v>536</v>
      </c>
      <c r="B66" s="264">
        <v>1037155.8364499999</v>
      </c>
      <c r="C66" s="264">
        <v>94393.300950000004</v>
      </c>
      <c r="D66" s="264">
        <v>65319.879359999999</v>
      </c>
      <c r="E66" s="264">
        <v>0</v>
      </c>
      <c r="F66" s="264">
        <v>791353.12968000001</v>
      </c>
      <c r="G66" s="264">
        <v>0</v>
      </c>
      <c r="H66" s="264">
        <v>83015.085149999999</v>
      </c>
      <c r="I66" s="264">
        <v>16819.800900000002</v>
      </c>
      <c r="J66" s="264">
        <v>155788.22066999998</v>
      </c>
      <c r="K66" s="264">
        <v>33478.577700000002</v>
      </c>
      <c r="L66" s="264">
        <v>69191.048669999989</v>
      </c>
      <c r="M66" s="264">
        <v>4258.6902</v>
      </c>
      <c r="N66" s="264">
        <v>61007.824050000003</v>
      </c>
      <c r="O66" s="264">
        <v>23801.062859999998</v>
      </c>
      <c r="P66" s="264">
        <v>82099.060559999998</v>
      </c>
      <c r="Q66" s="264">
        <v>7796.1289500000003</v>
      </c>
      <c r="R66" s="264">
        <v>57556.52592</v>
      </c>
      <c r="S66" s="264">
        <v>50813.566200000001</v>
      </c>
      <c r="T66" s="264">
        <v>49297.209300000002</v>
      </c>
      <c r="U66" s="264">
        <v>152733.65279999998</v>
      </c>
      <c r="V66" s="264">
        <v>45244.638900000005</v>
      </c>
      <c r="W66" s="264">
        <v>0</v>
      </c>
      <c r="X66" s="264">
        <v>62073.168000000005</v>
      </c>
      <c r="Y66" s="264">
        <v>216492.93</v>
      </c>
      <c r="Z66" s="264">
        <v>14857.533690000002</v>
      </c>
    </row>
    <row r="67" spans="1:26" s="79" customFormat="1">
      <c r="A67" s="263" t="s">
        <v>616</v>
      </c>
      <c r="B67" s="264">
        <v>0</v>
      </c>
      <c r="C67" s="264">
        <v>0</v>
      </c>
      <c r="D67" s="264">
        <v>0</v>
      </c>
      <c r="E67" s="264">
        <v>0</v>
      </c>
      <c r="F67" s="264">
        <v>0</v>
      </c>
      <c r="G67" s="264">
        <v>0</v>
      </c>
      <c r="H67" s="264">
        <v>0</v>
      </c>
      <c r="I67" s="264">
        <v>0</v>
      </c>
      <c r="J67" s="264">
        <v>0</v>
      </c>
      <c r="K67" s="264">
        <v>0</v>
      </c>
      <c r="L67" s="264">
        <v>0</v>
      </c>
      <c r="M67" s="264">
        <v>0</v>
      </c>
      <c r="N67" s="264">
        <v>0</v>
      </c>
      <c r="O67" s="264">
        <v>0</v>
      </c>
      <c r="P67" s="264">
        <v>0</v>
      </c>
      <c r="Q67" s="264">
        <v>0</v>
      </c>
      <c r="R67" s="264">
        <v>0</v>
      </c>
      <c r="S67" s="264">
        <v>0</v>
      </c>
      <c r="T67" s="264">
        <v>0</v>
      </c>
      <c r="U67" s="264">
        <v>0</v>
      </c>
      <c r="V67" s="264">
        <v>0</v>
      </c>
      <c r="W67" s="264">
        <v>0</v>
      </c>
      <c r="X67" s="264">
        <v>0</v>
      </c>
      <c r="Y67" s="264">
        <v>0</v>
      </c>
      <c r="Z67" s="264">
        <v>0</v>
      </c>
    </row>
    <row r="68" spans="1:26" s="79" customFormat="1">
      <c r="A68" s="265" t="s">
        <v>617</v>
      </c>
      <c r="B68" s="264">
        <v>0</v>
      </c>
      <c r="C68" s="264">
        <v>0</v>
      </c>
      <c r="D68" s="264">
        <v>0</v>
      </c>
      <c r="E68" s="264">
        <v>0</v>
      </c>
      <c r="F68" s="264">
        <v>0</v>
      </c>
      <c r="G68" s="264">
        <v>0</v>
      </c>
      <c r="H68" s="264">
        <v>0</v>
      </c>
      <c r="I68" s="264">
        <v>0</v>
      </c>
      <c r="J68" s="264">
        <v>0</v>
      </c>
      <c r="K68" s="264">
        <v>0</v>
      </c>
      <c r="L68" s="264">
        <v>0</v>
      </c>
      <c r="M68" s="264">
        <v>0</v>
      </c>
      <c r="N68" s="264">
        <v>0</v>
      </c>
      <c r="O68" s="264">
        <v>0</v>
      </c>
      <c r="P68" s="264">
        <v>0</v>
      </c>
      <c r="Q68" s="264">
        <v>0</v>
      </c>
      <c r="R68" s="264">
        <v>0</v>
      </c>
      <c r="S68" s="264">
        <v>0</v>
      </c>
      <c r="T68" s="264">
        <v>0</v>
      </c>
      <c r="U68" s="264">
        <v>0</v>
      </c>
      <c r="V68" s="264">
        <v>0</v>
      </c>
      <c r="W68" s="264">
        <v>0</v>
      </c>
      <c r="X68" s="264">
        <v>0</v>
      </c>
      <c r="Y68" s="264">
        <v>0</v>
      </c>
      <c r="Z68" s="264">
        <v>0</v>
      </c>
    </row>
    <row r="69" spans="1:26" s="79" customFormat="1">
      <c r="A69" s="263" t="s">
        <v>602</v>
      </c>
      <c r="B69" s="264">
        <v>0</v>
      </c>
      <c r="C69" s="264">
        <v>0</v>
      </c>
      <c r="D69" s="264">
        <v>0</v>
      </c>
      <c r="E69" s="264">
        <v>0</v>
      </c>
      <c r="F69" s="264">
        <v>2081.98902</v>
      </c>
      <c r="G69" s="264">
        <v>0</v>
      </c>
      <c r="H69" s="264">
        <v>0</v>
      </c>
      <c r="I69" s="264">
        <v>0</v>
      </c>
      <c r="J69" s="264">
        <v>0</v>
      </c>
      <c r="K69" s="264">
        <v>0</v>
      </c>
      <c r="L69" s="264">
        <v>0</v>
      </c>
      <c r="M69" s="264">
        <v>8327.9560799999999</v>
      </c>
      <c r="N69" s="264">
        <v>0</v>
      </c>
      <c r="O69" s="264">
        <v>0</v>
      </c>
      <c r="P69" s="264">
        <v>0</v>
      </c>
      <c r="Q69" s="264">
        <v>0</v>
      </c>
      <c r="R69" s="264">
        <v>0</v>
      </c>
      <c r="S69" s="264">
        <v>4163.97804</v>
      </c>
      <c r="T69" s="264">
        <v>0</v>
      </c>
      <c r="U69" s="264">
        <v>0</v>
      </c>
      <c r="V69" s="264">
        <v>0</v>
      </c>
      <c r="W69" s="264">
        <v>4163.97804</v>
      </c>
      <c r="X69" s="264">
        <v>0</v>
      </c>
      <c r="Y69" s="264">
        <v>6245.9670599999999</v>
      </c>
      <c r="Z69" s="264">
        <v>0</v>
      </c>
    </row>
    <row r="70" spans="1:26" s="79" customFormat="1">
      <c r="A70" s="265" t="s">
        <v>603</v>
      </c>
      <c r="B70" s="264">
        <v>0</v>
      </c>
      <c r="C70" s="264">
        <v>0</v>
      </c>
      <c r="D70" s="264">
        <v>0</v>
      </c>
      <c r="E70" s="264">
        <v>0</v>
      </c>
      <c r="F70" s="264">
        <v>2081.98902</v>
      </c>
      <c r="G70" s="264">
        <v>0</v>
      </c>
      <c r="H70" s="264">
        <v>0</v>
      </c>
      <c r="I70" s="264">
        <v>0</v>
      </c>
      <c r="J70" s="264">
        <v>0</v>
      </c>
      <c r="K70" s="264">
        <v>0</v>
      </c>
      <c r="L70" s="264">
        <v>0</v>
      </c>
      <c r="M70" s="264">
        <v>8327.9560799999999</v>
      </c>
      <c r="N70" s="264">
        <v>0</v>
      </c>
      <c r="O70" s="264">
        <v>0</v>
      </c>
      <c r="P70" s="264">
        <v>0</v>
      </c>
      <c r="Q70" s="264">
        <v>0</v>
      </c>
      <c r="R70" s="264">
        <v>0</v>
      </c>
      <c r="S70" s="264">
        <v>4163.97804</v>
      </c>
      <c r="T70" s="264">
        <v>0</v>
      </c>
      <c r="U70" s="264">
        <v>0</v>
      </c>
      <c r="V70" s="264">
        <v>0</v>
      </c>
      <c r="W70" s="264">
        <v>4163.97804</v>
      </c>
      <c r="X70" s="264">
        <v>0</v>
      </c>
      <c r="Y70" s="264">
        <v>6245.9670599999999</v>
      </c>
      <c r="Z70" s="264">
        <v>0</v>
      </c>
    </row>
    <row r="71" spans="1:26" s="79" customFormat="1">
      <c r="A71" s="263" t="s">
        <v>574</v>
      </c>
      <c r="B71" s="264">
        <v>74069.92224</v>
      </c>
      <c r="C71" s="264">
        <v>0</v>
      </c>
      <c r="D71" s="264">
        <v>0</v>
      </c>
      <c r="E71" s="264">
        <v>0</v>
      </c>
      <c r="F71" s="264">
        <v>24689.97408</v>
      </c>
      <c r="G71" s="264">
        <v>0</v>
      </c>
      <c r="H71" s="264">
        <v>74069.92224</v>
      </c>
      <c r="I71" s="264">
        <v>24689.97408</v>
      </c>
      <c r="J71" s="264">
        <v>0</v>
      </c>
      <c r="K71" s="264">
        <v>0</v>
      </c>
      <c r="L71" s="264">
        <v>0</v>
      </c>
      <c r="M71" s="264">
        <v>0</v>
      </c>
      <c r="N71" s="264">
        <v>0</v>
      </c>
      <c r="O71" s="264">
        <v>0</v>
      </c>
      <c r="P71" s="264">
        <v>0</v>
      </c>
      <c r="Q71" s="264">
        <v>49379.94816</v>
      </c>
      <c r="R71" s="264">
        <v>98759.89632</v>
      </c>
      <c r="S71" s="264">
        <v>74069.92224</v>
      </c>
      <c r="T71" s="264">
        <v>0</v>
      </c>
      <c r="U71" s="264">
        <v>0</v>
      </c>
      <c r="V71" s="264">
        <v>24689.97408</v>
      </c>
      <c r="W71" s="264">
        <v>24689.97408</v>
      </c>
      <c r="X71" s="264">
        <v>0</v>
      </c>
      <c r="Y71" s="264">
        <v>24689.97408</v>
      </c>
      <c r="Z71" s="264">
        <v>0</v>
      </c>
    </row>
    <row r="72" spans="1:26" s="79" customFormat="1">
      <c r="A72" s="265" t="s">
        <v>575</v>
      </c>
      <c r="B72" s="264">
        <v>74069.92224</v>
      </c>
      <c r="C72" s="264">
        <v>0</v>
      </c>
      <c r="D72" s="264">
        <v>0</v>
      </c>
      <c r="E72" s="264">
        <v>0</v>
      </c>
      <c r="F72" s="264">
        <v>24689.97408</v>
      </c>
      <c r="G72" s="264">
        <v>0</v>
      </c>
      <c r="H72" s="264">
        <v>74069.92224</v>
      </c>
      <c r="I72" s="264">
        <v>24689.97408</v>
      </c>
      <c r="J72" s="264">
        <v>0</v>
      </c>
      <c r="K72" s="264">
        <v>0</v>
      </c>
      <c r="L72" s="264">
        <v>0</v>
      </c>
      <c r="M72" s="264">
        <v>0</v>
      </c>
      <c r="N72" s="264">
        <v>0</v>
      </c>
      <c r="O72" s="264">
        <v>0</v>
      </c>
      <c r="P72" s="264">
        <v>0</v>
      </c>
      <c r="Q72" s="264">
        <v>49379.94816</v>
      </c>
      <c r="R72" s="264">
        <v>98759.89632</v>
      </c>
      <c r="S72" s="264">
        <v>74069.92224</v>
      </c>
      <c r="T72" s="264">
        <v>0</v>
      </c>
      <c r="U72" s="264">
        <v>0</v>
      </c>
      <c r="V72" s="264">
        <v>24689.97408</v>
      </c>
      <c r="W72" s="264">
        <v>24689.97408</v>
      </c>
      <c r="X72" s="264">
        <v>0</v>
      </c>
      <c r="Y72" s="264">
        <v>24689.97408</v>
      </c>
      <c r="Z72" s="264">
        <v>0</v>
      </c>
    </row>
    <row r="73" spans="1:26" s="79" customFormat="1">
      <c r="A73" s="263" t="s">
        <v>608</v>
      </c>
      <c r="B73" s="264">
        <v>0</v>
      </c>
      <c r="C73" s="264">
        <v>0</v>
      </c>
      <c r="D73" s="264">
        <v>0</v>
      </c>
      <c r="E73" s="264">
        <v>0</v>
      </c>
      <c r="F73" s="264">
        <v>0</v>
      </c>
      <c r="G73" s="264">
        <v>0</v>
      </c>
      <c r="H73" s="264">
        <v>0</v>
      </c>
      <c r="I73" s="264">
        <v>0</v>
      </c>
      <c r="J73" s="264">
        <v>0</v>
      </c>
      <c r="K73" s="264">
        <v>0</v>
      </c>
      <c r="L73" s="264">
        <v>0</v>
      </c>
      <c r="M73" s="264">
        <v>0</v>
      </c>
      <c r="N73" s="264">
        <v>0</v>
      </c>
      <c r="O73" s="264">
        <v>0</v>
      </c>
      <c r="P73" s="264">
        <v>0</v>
      </c>
      <c r="Q73" s="264">
        <v>0</v>
      </c>
      <c r="R73" s="264">
        <v>3125.7698399999999</v>
      </c>
      <c r="S73" s="264">
        <v>0</v>
      </c>
      <c r="T73" s="264">
        <v>0</v>
      </c>
      <c r="U73" s="264">
        <v>0</v>
      </c>
      <c r="V73" s="264">
        <v>0</v>
      </c>
      <c r="W73" s="264">
        <v>0</v>
      </c>
      <c r="X73" s="264">
        <v>0</v>
      </c>
      <c r="Y73" s="264">
        <v>0</v>
      </c>
      <c r="Z73" s="264">
        <v>0</v>
      </c>
    </row>
    <row r="74" spans="1:26" s="79" customFormat="1">
      <c r="A74" s="265" t="s">
        <v>609</v>
      </c>
      <c r="B74" s="264">
        <v>0</v>
      </c>
      <c r="C74" s="264">
        <v>0</v>
      </c>
      <c r="D74" s="264">
        <v>0</v>
      </c>
      <c r="E74" s="264">
        <v>0</v>
      </c>
      <c r="F74" s="264">
        <v>0</v>
      </c>
      <c r="G74" s="264">
        <v>0</v>
      </c>
      <c r="H74" s="264">
        <v>0</v>
      </c>
      <c r="I74" s="264">
        <v>0</v>
      </c>
      <c r="J74" s="264">
        <v>0</v>
      </c>
      <c r="K74" s="264">
        <v>0</v>
      </c>
      <c r="L74" s="264">
        <v>0</v>
      </c>
      <c r="M74" s="264">
        <v>0</v>
      </c>
      <c r="N74" s="264">
        <v>0</v>
      </c>
      <c r="O74" s="264">
        <v>0</v>
      </c>
      <c r="P74" s="264">
        <v>0</v>
      </c>
      <c r="Q74" s="264">
        <v>0</v>
      </c>
      <c r="R74" s="264">
        <v>3125.7698399999999</v>
      </c>
      <c r="S74" s="264">
        <v>0</v>
      </c>
      <c r="T74" s="264">
        <v>0</v>
      </c>
      <c r="U74" s="264">
        <v>0</v>
      </c>
      <c r="V74" s="264">
        <v>0</v>
      </c>
      <c r="W74" s="264">
        <v>0</v>
      </c>
      <c r="X74" s="264">
        <v>0</v>
      </c>
      <c r="Y74" s="264">
        <v>0</v>
      </c>
      <c r="Z74" s="264">
        <v>0</v>
      </c>
    </row>
    <row r="75" spans="1:26" s="79" customFormat="1">
      <c r="A75" s="263" t="s">
        <v>611</v>
      </c>
      <c r="B75" s="264">
        <v>0</v>
      </c>
      <c r="C75" s="264">
        <v>0</v>
      </c>
      <c r="D75" s="264">
        <v>0</v>
      </c>
      <c r="E75" s="264">
        <v>0</v>
      </c>
      <c r="F75" s="264">
        <v>0</v>
      </c>
      <c r="G75" s="264">
        <v>0</v>
      </c>
      <c r="H75" s="264">
        <v>28348.186500000003</v>
      </c>
      <c r="I75" s="264">
        <v>0</v>
      </c>
      <c r="J75" s="264">
        <v>0</v>
      </c>
      <c r="K75" s="264">
        <v>0</v>
      </c>
      <c r="L75" s="264">
        <v>0</v>
      </c>
      <c r="M75" s="264">
        <v>0</v>
      </c>
      <c r="N75" s="264">
        <v>0</v>
      </c>
      <c r="O75" s="264">
        <v>0</v>
      </c>
      <c r="P75" s="264">
        <v>0</v>
      </c>
      <c r="Q75" s="264">
        <v>0</v>
      </c>
      <c r="R75" s="264">
        <v>0</v>
      </c>
      <c r="S75" s="264">
        <v>0</v>
      </c>
      <c r="T75" s="264">
        <v>0</v>
      </c>
      <c r="U75" s="264">
        <v>0</v>
      </c>
      <c r="V75" s="264">
        <v>0</v>
      </c>
      <c r="W75" s="264">
        <v>0</v>
      </c>
      <c r="X75" s="264">
        <v>0</v>
      </c>
      <c r="Y75" s="264">
        <v>0</v>
      </c>
      <c r="Z75" s="264">
        <v>0</v>
      </c>
    </row>
    <row r="76" spans="1:26" s="79" customFormat="1">
      <c r="A76" s="265" t="s">
        <v>612</v>
      </c>
      <c r="B76" s="264">
        <v>0</v>
      </c>
      <c r="C76" s="264">
        <v>0</v>
      </c>
      <c r="D76" s="264">
        <v>0</v>
      </c>
      <c r="E76" s="264">
        <v>0</v>
      </c>
      <c r="F76" s="264">
        <v>0</v>
      </c>
      <c r="G76" s="264">
        <v>0</v>
      </c>
      <c r="H76" s="264">
        <v>28348.186500000003</v>
      </c>
      <c r="I76" s="264">
        <v>0</v>
      </c>
      <c r="J76" s="264">
        <v>0</v>
      </c>
      <c r="K76" s="264">
        <v>0</v>
      </c>
      <c r="L76" s="264">
        <v>0</v>
      </c>
      <c r="M76" s="264">
        <v>0</v>
      </c>
      <c r="N76" s="264">
        <v>0</v>
      </c>
      <c r="O76" s="264">
        <v>0</v>
      </c>
      <c r="P76" s="264">
        <v>0</v>
      </c>
      <c r="Q76" s="264">
        <v>0</v>
      </c>
      <c r="R76" s="264">
        <v>0</v>
      </c>
      <c r="S76" s="264">
        <v>0</v>
      </c>
      <c r="T76" s="264">
        <v>0</v>
      </c>
      <c r="U76" s="264">
        <v>0</v>
      </c>
      <c r="V76" s="264">
        <v>0</v>
      </c>
      <c r="W76" s="264">
        <v>0</v>
      </c>
      <c r="X76" s="264">
        <v>0</v>
      </c>
      <c r="Y76" s="264">
        <v>0</v>
      </c>
      <c r="Z76" s="264">
        <v>0</v>
      </c>
    </row>
    <row r="77" spans="1:26" s="79" customFormat="1">
      <c r="A77" s="263" t="s">
        <v>510</v>
      </c>
      <c r="B77" s="264">
        <v>37957.822800000002</v>
      </c>
      <c r="C77" s="264">
        <v>0</v>
      </c>
      <c r="D77" s="264">
        <v>0</v>
      </c>
      <c r="E77" s="264">
        <v>0</v>
      </c>
      <c r="F77" s="264">
        <v>11640.397499999999</v>
      </c>
      <c r="G77" s="264">
        <v>0</v>
      </c>
      <c r="H77" s="264">
        <v>18978.911400000001</v>
      </c>
      <c r="I77" s="264">
        <v>0</v>
      </c>
      <c r="J77" s="264">
        <v>0</v>
      </c>
      <c r="K77" s="264">
        <v>15183.12912</v>
      </c>
      <c r="L77" s="264">
        <v>0</v>
      </c>
      <c r="M77" s="264">
        <v>3795.7822799999999</v>
      </c>
      <c r="N77" s="264">
        <v>0</v>
      </c>
      <c r="O77" s="264">
        <v>0</v>
      </c>
      <c r="P77" s="264">
        <v>7591.5645599999998</v>
      </c>
      <c r="Q77" s="264">
        <v>13538.288640000001</v>
      </c>
      <c r="R77" s="264">
        <v>7591.5645599999998</v>
      </c>
      <c r="S77" s="264">
        <v>0</v>
      </c>
      <c r="T77" s="264">
        <v>0</v>
      </c>
      <c r="U77" s="264">
        <v>0</v>
      </c>
      <c r="V77" s="264">
        <v>0</v>
      </c>
      <c r="W77" s="264">
        <v>9489.4557000000004</v>
      </c>
      <c r="X77" s="264">
        <v>3795.7822799999999</v>
      </c>
      <c r="Y77" s="264">
        <v>9489.4557000000004</v>
      </c>
      <c r="Z77" s="264">
        <v>1897.89114</v>
      </c>
    </row>
    <row r="78" spans="1:26" s="79" customFormat="1">
      <c r="A78" s="265" t="s">
        <v>511</v>
      </c>
      <c r="B78" s="264">
        <v>37957.822800000002</v>
      </c>
      <c r="C78" s="264">
        <v>0</v>
      </c>
      <c r="D78" s="264">
        <v>0</v>
      </c>
      <c r="E78" s="264">
        <v>0</v>
      </c>
      <c r="F78" s="264">
        <v>11640.397499999999</v>
      </c>
      <c r="G78" s="264">
        <v>0</v>
      </c>
      <c r="H78" s="264">
        <v>18978.911400000001</v>
      </c>
      <c r="I78" s="264">
        <v>0</v>
      </c>
      <c r="J78" s="264">
        <v>0</v>
      </c>
      <c r="K78" s="264">
        <v>15183.12912</v>
      </c>
      <c r="L78" s="264">
        <v>0</v>
      </c>
      <c r="M78" s="264">
        <v>3795.7822799999999</v>
      </c>
      <c r="N78" s="264">
        <v>0</v>
      </c>
      <c r="O78" s="264">
        <v>0</v>
      </c>
      <c r="P78" s="264">
        <v>7591.5645599999998</v>
      </c>
      <c r="Q78" s="264">
        <v>13538.288640000001</v>
      </c>
      <c r="R78" s="264">
        <v>7591.5645599999998</v>
      </c>
      <c r="S78" s="264">
        <v>0</v>
      </c>
      <c r="T78" s="264">
        <v>0</v>
      </c>
      <c r="U78" s="264">
        <v>0</v>
      </c>
      <c r="V78" s="264">
        <v>0</v>
      </c>
      <c r="W78" s="264">
        <v>9489.4557000000004</v>
      </c>
      <c r="X78" s="264">
        <v>3795.7822799999999</v>
      </c>
      <c r="Y78" s="264">
        <v>9489.4557000000004</v>
      </c>
      <c r="Z78" s="264">
        <v>1897.89114</v>
      </c>
    </row>
    <row r="79" spans="1:26" s="79" customFormat="1">
      <c r="A79" s="263" t="s">
        <v>519</v>
      </c>
      <c r="B79" s="264">
        <v>0</v>
      </c>
      <c r="C79" s="264">
        <v>0</v>
      </c>
      <c r="D79" s="264">
        <v>0</v>
      </c>
      <c r="E79" s="264">
        <v>0</v>
      </c>
      <c r="F79" s="264">
        <v>19018.367340000001</v>
      </c>
      <c r="G79" s="264">
        <v>0</v>
      </c>
      <c r="H79" s="264">
        <v>0</v>
      </c>
      <c r="I79" s="264">
        <v>0</v>
      </c>
      <c r="J79" s="264">
        <v>0</v>
      </c>
      <c r="K79" s="264">
        <v>0</v>
      </c>
      <c r="L79" s="264">
        <v>0</v>
      </c>
      <c r="M79" s="264">
        <v>10928.13162</v>
      </c>
      <c r="N79" s="264">
        <v>0</v>
      </c>
      <c r="O79" s="264">
        <v>0</v>
      </c>
      <c r="P79" s="264">
        <v>0</v>
      </c>
      <c r="Q79" s="264">
        <v>13483.726200000001</v>
      </c>
      <c r="R79" s="264">
        <v>0</v>
      </c>
      <c r="S79" s="264">
        <v>5534.6411399999997</v>
      </c>
      <c r="T79" s="264">
        <v>0</v>
      </c>
      <c r="U79" s="264">
        <v>0</v>
      </c>
      <c r="V79" s="264">
        <v>0</v>
      </c>
      <c r="W79" s="264">
        <v>0</v>
      </c>
      <c r="X79" s="264">
        <v>0</v>
      </c>
      <c r="Y79" s="264">
        <v>0</v>
      </c>
      <c r="Z79" s="264">
        <v>0</v>
      </c>
    </row>
    <row r="80" spans="1:26" s="79" customFormat="1">
      <c r="A80" s="265" t="s">
        <v>520</v>
      </c>
      <c r="B80" s="264">
        <v>0</v>
      </c>
      <c r="C80" s="264">
        <v>0</v>
      </c>
      <c r="D80" s="264">
        <v>0</v>
      </c>
      <c r="E80" s="264">
        <v>0</v>
      </c>
      <c r="F80" s="264">
        <v>19018.367340000001</v>
      </c>
      <c r="G80" s="264">
        <v>0</v>
      </c>
      <c r="H80" s="264">
        <v>0</v>
      </c>
      <c r="I80" s="264">
        <v>0</v>
      </c>
      <c r="J80" s="264">
        <v>0</v>
      </c>
      <c r="K80" s="264">
        <v>0</v>
      </c>
      <c r="L80" s="264">
        <v>0</v>
      </c>
      <c r="M80" s="264">
        <v>10928.13162</v>
      </c>
      <c r="N80" s="264">
        <v>0</v>
      </c>
      <c r="O80" s="264">
        <v>0</v>
      </c>
      <c r="P80" s="264">
        <v>0</v>
      </c>
      <c r="Q80" s="264">
        <v>13483.726200000001</v>
      </c>
      <c r="R80" s="264">
        <v>0</v>
      </c>
      <c r="S80" s="264">
        <v>5534.6411399999997</v>
      </c>
      <c r="T80" s="264">
        <v>0</v>
      </c>
      <c r="U80" s="264">
        <v>0</v>
      </c>
      <c r="V80" s="264">
        <v>0</v>
      </c>
      <c r="W80" s="264">
        <v>0</v>
      </c>
      <c r="X80" s="264">
        <v>0</v>
      </c>
      <c r="Y80" s="264">
        <v>0</v>
      </c>
      <c r="Z80" s="264">
        <v>0</v>
      </c>
    </row>
    <row r="81" spans="1:26" s="79" customFormat="1">
      <c r="A81" s="263" t="s">
        <v>503</v>
      </c>
      <c r="B81" s="264">
        <v>35325.263400000003</v>
      </c>
      <c r="C81" s="264">
        <v>7408.6080600000014</v>
      </c>
      <c r="D81" s="264">
        <v>6643.4358600000014</v>
      </c>
      <c r="E81" s="264">
        <v>0</v>
      </c>
      <c r="F81" s="264">
        <v>6203.2436400000015</v>
      </c>
      <c r="G81" s="264">
        <v>0</v>
      </c>
      <c r="H81" s="264">
        <v>8924.1592799999999</v>
      </c>
      <c r="I81" s="264">
        <v>0</v>
      </c>
      <c r="J81" s="264">
        <v>9429.3430200000003</v>
      </c>
      <c r="K81" s="264">
        <v>0</v>
      </c>
      <c r="L81" s="264">
        <v>3379.2904800000001</v>
      </c>
      <c r="M81" s="264">
        <v>6026.8221000000003</v>
      </c>
      <c r="N81" s="264">
        <v>4526.1647700000003</v>
      </c>
      <c r="O81" s="264">
        <v>0</v>
      </c>
      <c r="P81" s="264">
        <v>5161.34274</v>
      </c>
      <c r="Q81" s="264">
        <v>4821.4576800000004</v>
      </c>
      <c r="R81" s="264">
        <v>5161.34274</v>
      </c>
      <c r="S81" s="264">
        <v>2604.8082000000004</v>
      </c>
      <c r="T81" s="264">
        <v>0</v>
      </c>
      <c r="U81" s="264">
        <v>0</v>
      </c>
      <c r="V81" s="264">
        <v>2621.5372500000003</v>
      </c>
      <c r="W81" s="264">
        <v>7356.630509999999</v>
      </c>
      <c r="X81" s="264">
        <v>9123.8784000000014</v>
      </c>
      <c r="Y81" s="264">
        <v>0</v>
      </c>
      <c r="Z81" s="264">
        <v>1645.5454500000001</v>
      </c>
    </row>
    <row r="82" spans="1:26" s="79" customFormat="1">
      <c r="A82" s="265" t="s">
        <v>504</v>
      </c>
      <c r="B82" s="264">
        <v>35325.263400000003</v>
      </c>
      <c r="C82" s="264">
        <v>7408.6080600000014</v>
      </c>
      <c r="D82" s="264">
        <v>6643.4358600000014</v>
      </c>
      <c r="E82" s="264">
        <v>0</v>
      </c>
      <c r="F82" s="264">
        <v>6203.2436400000015</v>
      </c>
      <c r="G82" s="264">
        <v>0</v>
      </c>
      <c r="H82" s="264">
        <v>8924.1592799999999</v>
      </c>
      <c r="I82" s="264">
        <v>0</v>
      </c>
      <c r="J82" s="264">
        <v>9429.3430200000003</v>
      </c>
      <c r="K82" s="264">
        <v>0</v>
      </c>
      <c r="L82" s="264">
        <v>3379.2904800000001</v>
      </c>
      <c r="M82" s="264">
        <v>6026.8221000000003</v>
      </c>
      <c r="N82" s="264">
        <v>4526.1647700000003</v>
      </c>
      <c r="O82" s="264">
        <v>0</v>
      </c>
      <c r="P82" s="264">
        <v>5161.34274</v>
      </c>
      <c r="Q82" s="264">
        <v>4821.4576800000004</v>
      </c>
      <c r="R82" s="264">
        <v>5161.34274</v>
      </c>
      <c r="S82" s="264">
        <v>2604.8082000000004</v>
      </c>
      <c r="T82" s="264">
        <v>0</v>
      </c>
      <c r="U82" s="264">
        <v>0</v>
      </c>
      <c r="V82" s="264">
        <v>2621.5372500000003</v>
      </c>
      <c r="W82" s="264">
        <v>7356.630509999999</v>
      </c>
      <c r="X82" s="264">
        <v>9123.8784000000014</v>
      </c>
      <c r="Y82" s="264">
        <v>0</v>
      </c>
      <c r="Z82" s="264">
        <v>1645.5454500000001</v>
      </c>
    </row>
    <row r="83" spans="1:26" s="79" customFormat="1">
      <c r="A83" s="263" t="s">
        <v>516</v>
      </c>
      <c r="B83" s="264">
        <v>0</v>
      </c>
      <c r="C83" s="264">
        <v>0</v>
      </c>
      <c r="D83" s="264">
        <v>0</v>
      </c>
      <c r="E83" s="264">
        <v>0</v>
      </c>
      <c r="F83" s="264">
        <v>11620.635960000001</v>
      </c>
      <c r="G83" s="264">
        <v>0</v>
      </c>
      <c r="H83" s="264">
        <v>29051.589900000003</v>
      </c>
      <c r="I83" s="264">
        <v>0</v>
      </c>
      <c r="J83" s="264">
        <v>24015.978000000003</v>
      </c>
      <c r="K83" s="264">
        <v>0</v>
      </c>
      <c r="L83" s="264">
        <v>30988.355100000001</v>
      </c>
      <c r="M83" s="264">
        <v>36217.643519999998</v>
      </c>
      <c r="N83" s="264">
        <v>0</v>
      </c>
      <c r="O83" s="264">
        <v>0</v>
      </c>
      <c r="P83" s="264">
        <v>0</v>
      </c>
      <c r="Q83" s="264">
        <v>14525.794950000001</v>
      </c>
      <c r="R83" s="264">
        <v>0</v>
      </c>
      <c r="S83" s="264">
        <v>15494.17755</v>
      </c>
      <c r="T83" s="264">
        <v>0</v>
      </c>
      <c r="U83" s="264">
        <v>9296.5065299999987</v>
      </c>
      <c r="V83" s="264">
        <v>3098.8355099999999</v>
      </c>
      <c r="W83" s="264">
        <v>0</v>
      </c>
      <c r="X83" s="264">
        <v>0</v>
      </c>
      <c r="Y83" s="264">
        <v>12395.34204</v>
      </c>
      <c r="Z83" s="264">
        <v>0</v>
      </c>
    </row>
    <row r="84" spans="1:26" s="79" customFormat="1">
      <c r="A84" s="265" t="s">
        <v>517</v>
      </c>
      <c r="B84" s="264">
        <v>0</v>
      </c>
      <c r="C84" s="264">
        <v>0</v>
      </c>
      <c r="D84" s="264">
        <v>0</v>
      </c>
      <c r="E84" s="264">
        <v>0</v>
      </c>
      <c r="F84" s="264">
        <v>11620.635960000001</v>
      </c>
      <c r="G84" s="264">
        <v>0</v>
      </c>
      <c r="H84" s="264">
        <v>29051.589900000003</v>
      </c>
      <c r="I84" s="264">
        <v>0</v>
      </c>
      <c r="J84" s="264">
        <v>24015.978000000003</v>
      </c>
      <c r="K84" s="264">
        <v>0</v>
      </c>
      <c r="L84" s="264">
        <v>30988.355100000001</v>
      </c>
      <c r="M84" s="264">
        <v>36217.643519999998</v>
      </c>
      <c r="N84" s="264">
        <v>0</v>
      </c>
      <c r="O84" s="264">
        <v>0</v>
      </c>
      <c r="P84" s="264">
        <v>0</v>
      </c>
      <c r="Q84" s="264">
        <v>14525.794950000001</v>
      </c>
      <c r="R84" s="264">
        <v>0</v>
      </c>
      <c r="S84" s="264">
        <v>15494.17755</v>
      </c>
      <c r="T84" s="264">
        <v>0</v>
      </c>
      <c r="U84" s="264">
        <v>9296.5065299999987</v>
      </c>
      <c r="V84" s="264">
        <v>3098.8355099999999</v>
      </c>
      <c r="W84" s="264">
        <v>0</v>
      </c>
      <c r="X84" s="264">
        <v>0</v>
      </c>
      <c r="Y84" s="264">
        <v>12395.34204</v>
      </c>
      <c r="Z84" s="264">
        <v>0</v>
      </c>
    </row>
    <row r="85" spans="1:26" s="79" customFormat="1">
      <c r="A85" s="263" t="s">
        <v>605</v>
      </c>
      <c r="B85" s="264">
        <v>1099291.8783683495</v>
      </c>
      <c r="C85" s="264">
        <v>294344.15146780078</v>
      </c>
      <c r="D85" s="264">
        <v>232196.31372451899</v>
      </c>
      <c r="E85" s="264">
        <v>77780.460624362895</v>
      </c>
      <c r="F85" s="264">
        <v>239336.02205420978</v>
      </c>
      <c r="G85" s="264">
        <v>116621.12528676265</v>
      </c>
      <c r="H85" s="264">
        <v>116621.12528676265</v>
      </c>
      <c r="I85" s="264">
        <v>116621.12528676265</v>
      </c>
      <c r="J85" s="264">
        <v>119392.14974676265</v>
      </c>
      <c r="K85" s="264">
        <v>188026.06484373374</v>
      </c>
      <c r="L85" s="264">
        <v>119392.14974676265</v>
      </c>
      <c r="M85" s="264">
        <v>79275.520531894494</v>
      </c>
      <c r="N85" s="264">
        <v>70586.882953532389</v>
      </c>
      <c r="O85" s="264">
        <v>69751.986147783799</v>
      </c>
      <c r="P85" s="264">
        <v>49923.337844042966</v>
      </c>
      <c r="Q85" s="264">
        <v>69751.986147783799</v>
      </c>
      <c r="R85" s="264">
        <v>70586.882953532389</v>
      </c>
      <c r="S85" s="264">
        <v>103310.46284476269</v>
      </c>
      <c r="T85" s="264">
        <v>47152.313384042965</v>
      </c>
      <c r="U85" s="264">
        <v>70586.882953532389</v>
      </c>
      <c r="V85" s="264">
        <v>50348.659361532431</v>
      </c>
      <c r="W85" s="264">
        <v>70586.882953532389</v>
      </c>
      <c r="X85" s="264">
        <v>70586.882953532389</v>
      </c>
      <c r="Y85" s="264">
        <v>50348.659361532431</v>
      </c>
      <c r="Z85" s="264">
        <v>93186.555717273222</v>
      </c>
    </row>
    <row r="86" spans="1:26" s="79" customFormat="1">
      <c r="A86" s="265" t="s">
        <v>606</v>
      </c>
      <c r="B86" s="264">
        <v>1099291.8783683495</v>
      </c>
      <c r="C86" s="264">
        <v>294344.15146780078</v>
      </c>
      <c r="D86" s="264">
        <v>232196.31372451899</v>
      </c>
      <c r="E86" s="264">
        <v>77780.460624362895</v>
      </c>
      <c r="F86" s="264">
        <v>239336.02205420978</v>
      </c>
      <c r="G86" s="264">
        <v>116621.12528676265</v>
      </c>
      <c r="H86" s="264">
        <v>116621.12528676265</v>
      </c>
      <c r="I86" s="264">
        <v>116621.12528676265</v>
      </c>
      <c r="J86" s="264">
        <v>119392.14974676265</v>
      </c>
      <c r="K86" s="264">
        <v>188026.06484373374</v>
      </c>
      <c r="L86" s="264">
        <v>119392.14974676265</v>
      </c>
      <c r="M86" s="264">
        <v>79275.520531894494</v>
      </c>
      <c r="N86" s="264">
        <v>70586.882953532389</v>
      </c>
      <c r="O86" s="264">
        <v>69751.986147783799</v>
      </c>
      <c r="P86" s="264">
        <v>49923.337844042966</v>
      </c>
      <c r="Q86" s="264">
        <v>69751.986147783799</v>
      </c>
      <c r="R86" s="264">
        <v>70586.882953532389</v>
      </c>
      <c r="S86" s="264">
        <v>103310.46284476269</v>
      </c>
      <c r="T86" s="264">
        <v>47152.313384042965</v>
      </c>
      <c r="U86" s="264">
        <v>70586.882953532389</v>
      </c>
      <c r="V86" s="264">
        <v>50348.659361532431</v>
      </c>
      <c r="W86" s="264">
        <v>70586.882953532389</v>
      </c>
      <c r="X86" s="264">
        <v>70586.882953532389</v>
      </c>
      <c r="Y86" s="264">
        <v>50348.659361532431</v>
      </c>
      <c r="Z86" s="264">
        <v>93186.555717273222</v>
      </c>
    </row>
    <row r="87" spans="1:26" s="79" customFormat="1">
      <c r="A87" s="263" t="s">
        <v>624</v>
      </c>
      <c r="B87" s="264">
        <v>1853519.1395053773</v>
      </c>
      <c r="C87" s="264">
        <v>404157.66988629027</v>
      </c>
      <c r="D87" s="264">
        <v>221781.61602687722</v>
      </c>
      <c r="E87" s="264">
        <v>125608.00441772658</v>
      </c>
      <c r="F87" s="264">
        <v>209733.21645055828</v>
      </c>
      <c r="G87" s="264">
        <v>186437.07085616168</v>
      </c>
      <c r="H87" s="264">
        <v>186437.07085616168</v>
      </c>
      <c r="I87" s="264">
        <v>288137.77477059129</v>
      </c>
      <c r="J87" s="264">
        <v>186437.07085616168</v>
      </c>
      <c r="K87" s="264">
        <v>288137.77477059129</v>
      </c>
      <c r="L87" s="264">
        <v>174894.77487011923</v>
      </c>
      <c r="M87" s="264">
        <v>218020.37254432339</v>
      </c>
      <c r="N87" s="264">
        <v>116319.66862989381</v>
      </c>
      <c r="O87" s="264">
        <v>116319.66862989381</v>
      </c>
      <c r="P87" s="264">
        <v>116319.66862989381</v>
      </c>
      <c r="Q87" s="264">
        <v>152369.10234463555</v>
      </c>
      <c r="R87" s="264">
        <v>152369.10234463555</v>
      </c>
      <c r="S87" s="264">
        <v>278924.60000906669</v>
      </c>
      <c r="T87" s="264">
        <v>174233.12568099625</v>
      </c>
      <c r="U87" s="264">
        <v>122986.94499835877</v>
      </c>
      <c r="V87" s="264">
        <v>114624.62787828536</v>
      </c>
      <c r="W87" s="264">
        <v>114624.62787828536</v>
      </c>
      <c r="X87" s="264">
        <v>116319.66862989381</v>
      </c>
      <c r="Y87" s="264">
        <v>116319.66862989381</v>
      </c>
      <c r="Z87" s="264">
        <v>108581.8554813084</v>
      </c>
    </row>
    <row r="88" spans="1:26" s="79" customFormat="1">
      <c r="A88" s="265" t="s">
        <v>625</v>
      </c>
      <c r="B88" s="264">
        <v>1853519.1395053773</v>
      </c>
      <c r="C88" s="264">
        <v>404157.66988629027</v>
      </c>
      <c r="D88" s="264">
        <v>221781.61602687722</v>
      </c>
      <c r="E88" s="264">
        <v>125608.00441772658</v>
      </c>
      <c r="F88" s="264">
        <v>209733.21645055828</v>
      </c>
      <c r="G88" s="264">
        <v>186437.07085616168</v>
      </c>
      <c r="H88" s="264">
        <v>186437.07085616168</v>
      </c>
      <c r="I88" s="264">
        <v>288137.77477059129</v>
      </c>
      <c r="J88" s="264">
        <v>186437.07085616168</v>
      </c>
      <c r="K88" s="264">
        <v>288137.77477059129</v>
      </c>
      <c r="L88" s="264">
        <v>174894.77487011923</v>
      </c>
      <c r="M88" s="264">
        <v>218020.37254432339</v>
      </c>
      <c r="N88" s="264">
        <v>116319.66862989381</v>
      </c>
      <c r="O88" s="264">
        <v>116319.66862989381</v>
      </c>
      <c r="P88" s="264">
        <v>116319.66862989381</v>
      </c>
      <c r="Q88" s="264">
        <v>152369.10234463555</v>
      </c>
      <c r="R88" s="264">
        <v>152369.10234463555</v>
      </c>
      <c r="S88" s="264">
        <v>278924.60000906669</v>
      </c>
      <c r="T88" s="264">
        <v>174233.12568099625</v>
      </c>
      <c r="U88" s="264">
        <v>122986.94499835877</v>
      </c>
      <c r="V88" s="264">
        <v>114624.62787828536</v>
      </c>
      <c r="W88" s="264">
        <v>114624.62787828536</v>
      </c>
      <c r="X88" s="264">
        <v>116319.66862989381</v>
      </c>
      <c r="Y88" s="264">
        <v>116319.66862989381</v>
      </c>
      <c r="Z88" s="264">
        <v>108581.8554813084</v>
      </c>
    </row>
    <row r="89" spans="1:26">
      <c r="A89" s="263" t="s">
        <v>1076</v>
      </c>
      <c r="B89" s="264">
        <v>0</v>
      </c>
      <c r="C89" s="264">
        <v>0</v>
      </c>
      <c r="D89" s="264">
        <v>0</v>
      </c>
      <c r="E89" s="264">
        <v>0</v>
      </c>
      <c r="F89" s="264">
        <v>0</v>
      </c>
      <c r="G89" s="264">
        <v>0</v>
      </c>
      <c r="H89" s="264">
        <v>0</v>
      </c>
      <c r="I89" s="264">
        <v>0</v>
      </c>
      <c r="J89" s="264">
        <v>0</v>
      </c>
      <c r="K89" s="264">
        <v>0</v>
      </c>
      <c r="L89" s="264">
        <v>0</v>
      </c>
      <c r="M89" s="264">
        <v>0</v>
      </c>
      <c r="N89" s="264">
        <v>0</v>
      </c>
      <c r="O89" s="264">
        <v>0</v>
      </c>
      <c r="P89" s="264">
        <v>0</v>
      </c>
      <c r="Q89" s="264">
        <v>0</v>
      </c>
      <c r="R89" s="264">
        <v>0</v>
      </c>
      <c r="S89" s="264">
        <v>0</v>
      </c>
      <c r="T89" s="264">
        <v>0</v>
      </c>
      <c r="U89" s="264">
        <v>0</v>
      </c>
      <c r="V89" s="264">
        <v>0</v>
      </c>
      <c r="W89" s="264">
        <v>0</v>
      </c>
      <c r="X89" s="264">
        <v>0</v>
      </c>
      <c r="Y89" s="264">
        <v>0</v>
      </c>
      <c r="Z89" s="264">
        <v>0</v>
      </c>
    </row>
    <row r="90" spans="1:26">
      <c r="A90" s="265" t="s">
        <v>1076</v>
      </c>
      <c r="B90" s="264">
        <v>0</v>
      </c>
      <c r="C90" s="264">
        <v>0</v>
      </c>
      <c r="D90" s="264">
        <v>0</v>
      </c>
      <c r="E90" s="264">
        <v>0</v>
      </c>
      <c r="F90" s="264">
        <v>0</v>
      </c>
      <c r="G90" s="264">
        <v>0</v>
      </c>
      <c r="H90" s="264">
        <v>0</v>
      </c>
      <c r="I90" s="264">
        <v>0</v>
      </c>
      <c r="J90" s="264">
        <v>0</v>
      </c>
      <c r="K90" s="264">
        <v>0</v>
      </c>
      <c r="L90" s="264">
        <v>0</v>
      </c>
      <c r="M90" s="264">
        <v>0</v>
      </c>
      <c r="N90" s="264">
        <v>0</v>
      </c>
      <c r="O90" s="264">
        <v>0</v>
      </c>
      <c r="P90" s="264">
        <v>0</v>
      </c>
      <c r="Q90" s="264">
        <v>0</v>
      </c>
      <c r="R90" s="264">
        <v>0</v>
      </c>
      <c r="S90" s="264">
        <v>0</v>
      </c>
      <c r="T90" s="264">
        <v>0</v>
      </c>
      <c r="U90" s="264">
        <v>0</v>
      </c>
      <c r="V90" s="264">
        <v>0</v>
      </c>
      <c r="W90" s="264">
        <v>0</v>
      </c>
      <c r="X90" s="264">
        <v>0</v>
      </c>
      <c r="Y90" s="264">
        <v>0</v>
      </c>
      <c r="Z90" s="264">
        <v>0</v>
      </c>
    </row>
    <row r="91" spans="1:26">
      <c r="A91" s="263" t="s">
        <v>699</v>
      </c>
      <c r="B91" s="264">
        <v>23047022.813643731</v>
      </c>
      <c r="C91" s="264">
        <v>2728316.3361640908</v>
      </c>
      <c r="D91" s="264">
        <v>1652903.8027913962</v>
      </c>
      <c r="E91" s="264">
        <v>203388.46504208946</v>
      </c>
      <c r="F91" s="264">
        <v>5563346.5923247682</v>
      </c>
      <c r="G91" s="264">
        <v>866234.76016292418</v>
      </c>
      <c r="H91" s="264">
        <v>2346020.9497629246</v>
      </c>
      <c r="I91" s="264">
        <v>816247.40487735404</v>
      </c>
      <c r="J91" s="264">
        <v>3068082.2312529255</v>
      </c>
      <c r="K91" s="264">
        <v>2329407.3495943248</v>
      </c>
      <c r="L91" s="264">
        <v>2885060.883986881</v>
      </c>
      <c r="M91" s="264">
        <v>1470925.9766262174</v>
      </c>
      <c r="N91" s="264">
        <v>702651.81642342615</v>
      </c>
      <c r="O91" s="264">
        <v>1209653.0141276773</v>
      </c>
      <c r="P91" s="264">
        <v>1632396.6204939366</v>
      </c>
      <c r="Q91" s="264">
        <v>3270421.7192424191</v>
      </c>
      <c r="R91" s="264">
        <v>1758906.8662381677</v>
      </c>
      <c r="S91" s="264">
        <v>2499656.3338438286</v>
      </c>
      <c r="T91" s="264">
        <v>931422.96484503918</v>
      </c>
      <c r="U91" s="264">
        <v>1716080.1476918915</v>
      </c>
      <c r="V91" s="264">
        <v>1141844.6771898177</v>
      </c>
      <c r="W91" s="264">
        <v>671158.94705181767</v>
      </c>
      <c r="X91" s="264">
        <v>1513311.8811634264</v>
      </c>
      <c r="Y91" s="264">
        <v>1473248.3905214262</v>
      </c>
      <c r="Z91" s="264">
        <v>1931260.9054985812</v>
      </c>
    </row>
    <row r="92" spans="1:26">
      <c r="B92" s="77"/>
    </row>
    <row r="93" spans="1:26">
      <c r="B93" s="77"/>
    </row>
    <row r="94" spans="1:26">
      <c r="B94" s="77"/>
    </row>
    <row r="95" spans="1:26">
      <c r="B95" s="77"/>
    </row>
    <row r="96" spans="1:26">
      <c r="B96" s="77"/>
    </row>
    <row r="97" spans="2:2">
      <c r="B97" s="77"/>
    </row>
    <row r="98" spans="2:2">
      <c r="B98" s="77"/>
    </row>
    <row r="99" spans="2:2">
      <c r="B99" s="77"/>
    </row>
    <row r="100" spans="2:2">
      <c r="B100" s="77"/>
    </row>
    <row r="101" spans="2:2">
      <c r="B101" s="77"/>
    </row>
    <row r="102" spans="2:2">
      <c r="B102" s="77"/>
    </row>
    <row r="103" spans="2:2">
      <c r="B103" s="77"/>
    </row>
    <row r="104" spans="2:2">
      <c r="B104" s="77"/>
    </row>
    <row r="105" spans="2:2">
      <c r="B105" s="77"/>
    </row>
    <row r="106" spans="2:2">
      <c r="B106" s="77"/>
    </row>
    <row r="107" spans="2:2">
      <c r="B107" s="77"/>
    </row>
    <row r="108" spans="2:2">
      <c r="B108" s="77"/>
    </row>
    <row r="109" spans="2:2">
      <c r="B109" s="77"/>
    </row>
    <row r="110" spans="2:2">
      <c r="B110" s="77"/>
    </row>
    <row r="111" spans="2:2">
      <c r="B111" s="77"/>
    </row>
    <row r="112" spans="2:2">
      <c r="B112" s="77"/>
    </row>
    <row r="113" spans="2:2">
      <c r="B113" s="77"/>
    </row>
    <row r="114" spans="2:2">
      <c r="B114" s="77"/>
    </row>
    <row r="115" spans="2:2">
      <c r="B115" s="77"/>
    </row>
    <row r="116" spans="2:2">
      <c r="B116" s="77"/>
    </row>
    <row r="117" spans="2:2">
      <c r="B117" s="77"/>
    </row>
    <row r="118" spans="2:2">
      <c r="B118" s="77"/>
    </row>
    <row r="119" spans="2:2">
      <c r="B119" s="77"/>
    </row>
    <row r="120" spans="2:2">
      <c r="B120" s="77"/>
    </row>
    <row r="121" spans="2:2">
      <c r="B121" s="77"/>
    </row>
    <row r="122" spans="2:2">
      <c r="B122" s="77"/>
    </row>
    <row r="123" spans="2:2">
      <c r="B123" s="77"/>
    </row>
    <row r="124" spans="2:2">
      <c r="B124" s="77"/>
    </row>
    <row r="125" spans="2:2">
      <c r="B125" s="77"/>
    </row>
    <row r="126" spans="2:2">
      <c r="B126" s="77"/>
    </row>
    <row r="127" spans="2:2">
      <c r="B127" s="77"/>
    </row>
    <row r="128" spans="2:2">
      <c r="B128" s="77"/>
    </row>
    <row r="129" spans="2:2">
      <c r="B129" s="77"/>
    </row>
    <row r="130" spans="2:2">
      <c r="B130" s="77"/>
    </row>
    <row r="131" spans="2:2">
      <c r="B131" s="77"/>
    </row>
    <row r="132" spans="2:2">
      <c r="B132" s="77"/>
    </row>
    <row r="133" spans="2:2">
      <c r="B133" s="77"/>
    </row>
    <row r="134" spans="2:2">
      <c r="B134" s="77"/>
    </row>
    <row r="135" spans="2:2">
      <c r="B135" s="77"/>
    </row>
    <row r="136" spans="2:2">
      <c r="B136" s="77"/>
    </row>
    <row r="137" spans="2:2">
      <c r="B137" s="77"/>
    </row>
    <row r="138" spans="2:2">
      <c r="B138" s="77"/>
    </row>
    <row r="139" spans="2:2">
      <c r="B139" s="77"/>
    </row>
    <row r="140" spans="2:2">
      <c r="B140" s="77"/>
    </row>
    <row r="141" spans="2:2">
      <c r="B141" s="77"/>
    </row>
    <row r="142" spans="2:2">
      <c r="B142" s="77"/>
    </row>
    <row r="143" spans="2:2">
      <c r="B143" s="77"/>
    </row>
    <row r="144" spans="2:2">
      <c r="B144" s="77"/>
    </row>
    <row r="145" spans="2:2">
      <c r="B145" s="77"/>
    </row>
    <row r="146" spans="2:2">
      <c r="B146" s="77"/>
    </row>
    <row r="147" spans="2:2">
      <c r="B147" s="77"/>
    </row>
    <row r="148" spans="2:2">
      <c r="B148" s="77"/>
    </row>
    <row r="149" spans="2:2">
      <c r="B149" s="77"/>
    </row>
    <row r="150" spans="2:2">
      <c r="B150" s="77"/>
    </row>
    <row r="151" spans="2:2">
      <c r="B151" s="77"/>
    </row>
    <row r="152" spans="2:2">
      <c r="B152" s="77"/>
    </row>
    <row r="153" spans="2:2">
      <c r="B153" s="77"/>
    </row>
    <row r="154" spans="2:2">
      <c r="B154" s="77"/>
    </row>
    <row r="155" spans="2:2">
      <c r="B155" s="77"/>
    </row>
    <row r="156" spans="2:2">
      <c r="B156" s="77"/>
    </row>
    <row r="157" spans="2:2">
      <c r="B157" s="77"/>
    </row>
    <row r="158" spans="2:2">
      <c r="B158" s="77"/>
    </row>
    <row r="159" spans="2:2">
      <c r="B159" s="77"/>
    </row>
    <row r="160" spans="2:2">
      <c r="B160" s="77"/>
    </row>
    <row r="161" spans="2:2">
      <c r="B161" s="77"/>
    </row>
    <row r="162" spans="2:2">
      <c r="B162" s="77"/>
    </row>
    <row r="163" spans="2:2">
      <c r="B163" s="77"/>
    </row>
    <row r="164" spans="2:2">
      <c r="B164" s="77"/>
    </row>
    <row r="165" spans="2:2">
      <c r="B165" s="77"/>
    </row>
    <row r="166" spans="2:2">
      <c r="B166" s="77"/>
    </row>
    <row r="167" spans="2:2">
      <c r="B167" s="77"/>
    </row>
    <row r="168" spans="2:2">
      <c r="B168" s="77"/>
    </row>
    <row r="169" spans="2:2">
      <c r="B169" s="77"/>
    </row>
    <row r="170" spans="2:2">
      <c r="B170" s="77"/>
    </row>
    <row r="171" spans="2:2">
      <c r="B171" s="77"/>
    </row>
    <row r="172" spans="2:2">
      <c r="B172" s="77"/>
    </row>
    <row r="173" spans="2:2">
      <c r="B173" s="77"/>
    </row>
    <row r="174" spans="2:2">
      <c r="B174" s="77"/>
    </row>
    <row r="175" spans="2:2">
      <c r="B175" s="77"/>
    </row>
    <row r="176" spans="2:2">
      <c r="B176" s="77"/>
    </row>
    <row r="177" spans="2:2">
      <c r="B177" s="77"/>
    </row>
    <row r="178" spans="2:2">
      <c r="B178" s="77"/>
    </row>
    <row r="179" spans="2:2">
      <c r="B179" s="77"/>
    </row>
    <row r="180" spans="2:2">
      <c r="B180" s="77"/>
    </row>
    <row r="181" spans="2:2">
      <c r="B181" s="77"/>
    </row>
    <row r="182" spans="2:2">
      <c r="B182" s="77"/>
    </row>
    <row r="183" spans="2:2">
      <c r="B183" s="77"/>
    </row>
    <row r="184" spans="2:2">
      <c r="B184" s="77"/>
    </row>
    <row r="185" spans="2:2">
      <c r="B185" s="77"/>
    </row>
    <row r="186" spans="2:2">
      <c r="B186" s="77"/>
    </row>
    <row r="187" spans="2:2">
      <c r="B187" s="77"/>
    </row>
    <row r="188" spans="2:2">
      <c r="B188" s="77"/>
    </row>
    <row r="189" spans="2:2">
      <c r="B189" s="77"/>
    </row>
    <row r="190" spans="2:2">
      <c r="B190" s="77"/>
    </row>
    <row r="191" spans="2:2">
      <c r="B191" s="77"/>
    </row>
    <row r="192" spans="2:2">
      <c r="B192" s="77"/>
    </row>
    <row r="193" spans="2:2">
      <c r="B193" s="77"/>
    </row>
    <row r="194" spans="2:2">
      <c r="B194" s="77"/>
    </row>
    <row r="195" spans="2:2">
      <c r="B195" s="77"/>
    </row>
    <row r="196" spans="2:2">
      <c r="B196" s="77"/>
    </row>
    <row r="197" spans="2:2">
      <c r="B197" s="77"/>
    </row>
    <row r="198" spans="2:2">
      <c r="B198" s="77"/>
    </row>
    <row r="199" spans="2:2">
      <c r="B199" s="77"/>
    </row>
  </sheetData>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7"/>
  <sheetViews>
    <sheetView zoomScale="150" zoomScaleNormal="150" workbookViewId="0">
      <selection activeCell="A7" sqref="A7"/>
    </sheetView>
  </sheetViews>
  <sheetFormatPr baseColWidth="10" defaultRowHeight="14.25"/>
  <cols>
    <col min="1" max="1" width="40.125" bestFit="1" customWidth="1"/>
    <col min="2" max="2" width="7.625" bestFit="1" customWidth="1"/>
    <col min="3" max="3" width="12.75" customWidth="1"/>
  </cols>
  <sheetData>
    <row r="1" spans="1:3" ht="22.5">
      <c r="A1" s="212" t="s">
        <v>0</v>
      </c>
      <c r="B1" s="212" t="s">
        <v>1022</v>
      </c>
      <c r="C1" s="212" t="s">
        <v>693</v>
      </c>
    </row>
    <row r="2" spans="1:3">
      <c r="A2" s="179" t="s">
        <v>947</v>
      </c>
      <c r="B2" s="179" t="s">
        <v>1023</v>
      </c>
      <c r="C2" s="179" t="s">
        <v>1024</v>
      </c>
    </row>
    <row r="3" spans="1:3">
      <c r="A3" s="179" t="s">
        <v>948</v>
      </c>
      <c r="B3" s="179" t="s">
        <v>1023</v>
      </c>
      <c r="C3" s="179" t="s">
        <v>1024</v>
      </c>
    </row>
    <row r="4" spans="1:3">
      <c r="A4" s="179" t="s">
        <v>949</v>
      </c>
      <c r="B4" s="179" t="s">
        <v>1023</v>
      </c>
      <c r="C4" s="179" t="s">
        <v>1024</v>
      </c>
    </row>
    <row r="5" spans="1:3">
      <c r="A5" s="179" t="s">
        <v>950</v>
      </c>
      <c r="B5" s="179" t="s">
        <v>1023</v>
      </c>
      <c r="C5" s="179"/>
    </row>
    <row r="6" spans="1:3">
      <c r="A6" s="179" t="s">
        <v>951</v>
      </c>
      <c r="B6" s="179" t="s">
        <v>1023</v>
      </c>
      <c r="C6" s="179"/>
    </row>
    <row r="7" spans="1:3">
      <c r="A7" s="179" t="s">
        <v>952</v>
      </c>
      <c r="B7" s="179" t="s">
        <v>1023</v>
      </c>
      <c r="C7" s="179" t="s">
        <v>1024</v>
      </c>
    </row>
    <row r="8" spans="1:3">
      <c r="A8" s="179" t="s">
        <v>953</v>
      </c>
      <c r="B8" s="179" t="s">
        <v>1023</v>
      </c>
      <c r="C8" s="179" t="s">
        <v>1024</v>
      </c>
    </row>
    <row r="9" spans="1:3">
      <c r="A9" s="179" t="s">
        <v>954</v>
      </c>
      <c r="B9" s="179" t="s">
        <v>1023</v>
      </c>
      <c r="C9" s="179" t="s">
        <v>1024</v>
      </c>
    </row>
    <row r="10" spans="1:3">
      <c r="A10" s="179" t="s">
        <v>955</v>
      </c>
      <c r="B10" s="179" t="s">
        <v>1023</v>
      </c>
      <c r="C10" s="179"/>
    </row>
    <row r="11" spans="1:3">
      <c r="A11" s="179" t="s">
        <v>662</v>
      </c>
      <c r="B11" s="179" t="s">
        <v>1023</v>
      </c>
      <c r="C11" s="179"/>
    </row>
    <row r="12" spans="1:3">
      <c r="A12" s="179" t="s">
        <v>663</v>
      </c>
      <c r="B12" s="179" t="s">
        <v>1023</v>
      </c>
      <c r="C12" s="179" t="s">
        <v>1024</v>
      </c>
    </row>
    <row r="13" spans="1:3">
      <c r="A13" s="179" t="s">
        <v>664</v>
      </c>
      <c r="B13" s="179" t="s">
        <v>1023</v>
      </c>
      <c r="C13" s="179"/>
    </row>
    <row r="14" spans="1:3">
      <c r="A14" s="179" t="s">
        <v>665</v>
      </c>
      <c r="B14" s="179" t="s">
        <v>1023</v>
      </c>
      <c r="C14" s="179"/>
    </row>
    <row r="15" spans="1:3">
      <c r="A15" s="179" t="s">
        <v>666</v>
      </c>
      <c r="B15" s="179" t="s">
        <v>1023</v>
      </c>
      <c r="C15" s="179"/>
    </row>
    <row r="16" spans="1:3">
      <c r="A16" s="179" t="s">
        <v>667</v>
      </c>
      <c r="B16" s="179" t="s">
        <v>1023</v>
      </c>
      <c r="C16" s="179"/>
    </row>
    <row r="17" spans="1:3">
      <c r="A17" s="179" t="s">
        <v>668</v>
      </c>
      <c r="B17" s="179" t="s">
        <v>1023</v>
      </c>
      <c r="C17" s="179"/>
    </row>
    <row r="18" spans="1:3">
      <c r="A18" s="179" t="s">
        <v>669</v>
      </c>
      <c r="B18" s="179" t="s">
        <v>1023</v>
      </c>
      <c r="C18" s="179"/>
    </row>
    <row r="19" spans="1:3">
      <c r="A19" s="179" t="s">
        <v>670</v>
      </c>
      <c r="B19" s="179" t="s">
        <v>1023</v>
      </c>
      <c r="C19" s="179" t="s">
        <v>1024</v>
      </c>
    </row>
    <row r="20" spans="1:3">
      <c r="A20" s="179" t="s">
        <v>671</v>
      </c>
      <c r="B20" s="179" t="s">
        <v>1023</v>
      </c>
      <c r="C20" s="179" t="s">
        <v>1024</v>
      </c>
    </row>
    <row r="21" spans="1:3">
      <c r="A21" s="179" t="s">
        <v>672</v>
      </c>
      <c r="B21" s="179" t="s">
        <v>1023</v>
      </c>
      <c r="C21" s="179"/>
    </row>
    <row r="22" spans="1:3">
      <c r="A22" s="179" t="s">
        <v>673</v>
      </c>
      <c r="B22" s="179" t="s">
        <v>1023</v>
      </c>
      <c r="C22" s="179"/>
    </row>
    <row r="23" spans="1:3">
      <c r="A23" s="179" t="s">
        <v>674</v>
      </c>
      <c r="B23" s="179" t="s">
        <v>1023</v>
      </c>
      <c r="C23" s="179" t="s">
        <v>1024</v>
      </c>
    </row>
    <row r="24" spans="1:3">
      <c r="A24" s="179" t="s">
        <v>675</v>
      </c>
      <c r="B24" s="179" t="s">
        <v>1023</v>
      </c>
      <c r="C24" s="179" t="s">
        <v>1024</v>
      </c>
    </row>
    <row r="25" spans="1:3">
      <c r="A25" s="179" t="s">
        <v>676</v>
      </c>
      <c r="B25" s="179" t="s">
        <v>1023</v>
      </c>
      <c r="C25" s="179" t="s">
        <v>1024</v>
      </c>
    </row>
    <row r="26" spans="1:3">
      <c r="A26" s="179" t="s">
        <v>677</v>
      </c>
      <c r="B26" s="179" t="s">
        <v>1023</v>
      </c>
      <c r="C26" s="179"/>
    </row>
    <row r="27" spans="1:3">
      <c r="A27" s="179" t="s">
        <v>1025</v>
      </c>
      <c r="B27" s="179" t="s">
        <v>1023</v>
      </c>
      <c r="C27" s="179" t="s">
        <v>1024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9"/>
  <sheetViews>
    <sheetView zoomScale="130" zoomScaleNormal="130" workbookViewId="0">
      <pane ySplit="1" topLeftCell="A2" activePane="bottomLeft" state="frozen"/>
      <selection pane="bottomLeft" activeCell="C9" sqref="C9"/>
    </sheetView>
  </sheetViews>
  <sheetFormatPr baseColWidth="10" defaultColWidth="11" defaultRowHeight="11.25"/>
  <cols>
    <col min="1" max="1" width="18.125" style="76" customWidth="1"/>
    <col min="2" max="2" width="13.5" style="78" customWidth="1"/>
    <col min="3" max="3" width="17.625" style="78" customWidth="1"/>
    <col min="4" max="5" width="12.5" style="78" customWidth="1"/>
    <col min="6" max="6" width="12" style="78" customWidth="1"/>
    <col min="7" max="8" width="12.5" style="78" customWidth="1"/>
    <col min="9" max="9" width="13.625" style="78" customWidth="1"/>
    <col min="10" max="10" width="12" style="78" customWidth="1"/>
    <col min="11" max="11" width="13.25" style="78" customWidth="1"/>
    <col min="12" max="12" width="12.75" style="78" customWidth="1"/>
    <col min="13" max="13" width="13.25" style="78" customWidth="1"/>
    <col min="14" max="16" width="12.75" style="78" customWidth="1"/>
    <col min="17" max="18" width="13.25" style="78" customWidth="1"/>
    <col min="19" max="19" width="16.5" style="78" customWidth="1"/>
    <col min="20" max="20" width="13.25" style="78" customWidth="1"/>
    <col min="21" max="24" width="17.375" style="78" customWidth="1"/>
    <col min="25" max="25" width="13.25" style="78" customWidth="1"/>
    <col min="26" max="26" width="12.75" style="78" customWidth="1"/>
    <col min="27" max="27" width="40" style="79" customWidth="1"/>
    <col min="28" max="28" width="37.125" style="79" bestFit="1" customWidth="1"/>
    <col min="29" max="29" width="31.625" style="79" bestFit="1" customWidth="1"/>
    <col min="30" max="30" width="28.75" style="79" bestFit="1" customWidth="1"/>
    <col min="31" max="31" width="52.125" style="79" bestFit="1" customWidth="1"/>
    <col min="32" max="32" width="32.125" style="79" bestFit="1" customWidth="1"/>
    <col min="33" max="33" width="50.75" style="79" bestFit="1" customWidth="1"/>
    <col min="34" max="34" width="30.875" style="79" bestFit="1" customWidth="1"/>
    <col min="35" max="35" width="85.375" style="79" bestFit="1" customWidth="1"/>
    <col min="36" max="36" width="82.375" style="79" bestFit="1" customWidth="1"/>
    <col min="37" max="37" width="24.375" style="79" bestFit="1" customWidth="1"/>
    <col min="38" max="38" width="12.625" style="79" bestFit="1" customWidth="1"/>
    <col min="39" max="39" width="15.375" style="79" bestFit="1" customWidth="1"/>
    <col min="40" max="40" width="22.625" style="79" bestFit="1" customWidth="1"/>
    <col min="41" max="41" width="22.875" style="76" bestFit="1" customWidth="1"/>
    <col min="42" max="42" width="22.125" style="76" bestFit="1" customWidth="1"/>
    <col min="43" max="43" width="21.75" style="76" bestFit="1" customWidth="1"/>
    <col min="44" max="44" width="12.625" style="76" bestFit="1" customWidth="1"/>
    <col min="45" max="50" width="10.125" style="76" bestFit="1" customWidth="1"/>
    <col min="51" max="82" width="11.125" style="76" bestFit="1" customWidth="1"/>
    <col min="83" max="86" width="12.625" style="76" bestFit="1" customWidth="1"/>
    <col min="87" max="87" width="13.875" style="76" bestFit="1" customWidth="1"/>
    <col min="88" max="16384" width="11" style="76"/>
  </cols>
  <sheetData>
    <row r="1" spans="1:41" ht="45">
      <c r="B1" s="69" t="s">
        <v>653</v>
      </c>
      <c r="C1" s="69" t="s">
        <v>654</v>
      </c>
      <c r="D1" s="69" t="s">
        <v>655</v>
      </c>
      <c r="E1" s="69" t="s">
        <v>656</v>
      </c>
      <c r="F1" s="69" t="s">
        <v>657</v>
      </c>
      <c r="G1" s="69" t="s">
        <v>658</v>
      </c>
      <c r="H1" s="69" t="s">
        <v>659</v>
      </c>
      <c r="I1" s="69" t="s">
        <v>660</v>
      </c>
      <c r="J1" s="69" t="s">
        <v>661</v>
      </c>
      <c r="K1" s="69" t="s">
        <v>662</v>
      </c>
      <c r="L1" s="69" t="s">
        <v>663</v>
      </c>
      <c r="M1" s="69" t="s">
        <v>664</v>
      </c>
      <c r="N1" s="69" t="s">
        <v>665</v>
      </c>
      <c r="O1" s="69" t="s">
        <v>666</v>
      </c>
      <c r="P1" s="69" t="s">
        <v>667</v>
      </c>
      <c r="Q1" s="69" t="s">
        <v>668</v>
      </c>
      <c r="R1" s="69" t="s">
        <v>669</v>
      </c>
      <c r="S1" s="69" t="s">
        <v>670</v>
      </c>
      <c r="T1" s="69" t="s">
        <v>671</v>
      </c>
      <c r="U1" s="69" t="s">
        <v>672</v>
      </c>
      <c r="V1" s="69" t="s">
        <v>673</v>
      </c>
      <c r="W1" s="69" t="s">
        <v>674</v>
      </c>
      <c r="X1" s="69" t="s">
        <v>675</v>
      </c>
      <c r="Y1" s="69" t="s">
        <v>676</v>
      </c>
      <c r="Z1" s="69" t="s">
        <v>677</v>
      </c>
    </row>
    <row r="2" spans="1:41" ht="33.75">
      <c r="A2" s="19" t="s">
        <v>725</v>
      </c>
      <c r="B2" s="81">
        <f>+SUMIFS(PERSONAL!$P$2:$P$199,PERSONAL!$A$2:$A$199,B$1)</f>
        <v>0</v>
      </c>
      <c r="C2" s="81">
        <f>+SUMIFS(PERSONAL!$P$2:$P$199,PERSONAL!$A$2:$A$199,C$1)</f>
        <v>0</v>
      </c>
      <c r="D2" s="81">
        <f>+SUMIFS(PERSONAL!$P$2:$P$199,PERSONAL!$A$2:$A$199,D$1)</f>
        <v>0</v>
      </c>
      <c r="E2" s="81">
        <f>+SUMIFS(PERSONAL!$P$2:$P$199,PERSONAL!$A$2:$A$199,E$1)</f>
        <v>0</v>
      </c>
      <c r="F2" s="81">
        <f>+SUMIFS(PERSONAL!$P$2:$P$199,PERSONAL!$A$2:$A$199,F$1)</f>
        <v>0</v>
      </c>
      <c r="G2" s="81">
        <f>+SUMIFS(PERSONAL!$P$2:$P$199,PERSONAL!$A$2:$A$199,G$1)</f>
        <v>0</v>
      </c>
      <c r="H2" s="81">
        <f>+SUMIFS(PERSONAL!$P$2:$P$199,PERSONAL!$A$2:$A$199,H$1)</f>
        <v>0</v>
      </c>
      <c r="I2" s="81">
        <f>+SUMIFS(PERSONAL!$P$2:$P$199,PERSONAL!$A$2:$A$199,I$1)</f>
        <v>0</v>
      </c>
      <c r="J2" s="81">
        <f>+SUMIFS(PERSONAL!$P$2:$P$199,PERSONAL!$A$2:$A$199,J$1)</f>
        <v>0</v>
      </c>
      <c r="K2" s="81">
        <f>+SUMIFS(PERSONAL!$P$2:$P$199,PERSONAL!$A$2:$A$199,K$1)</f>
        <v>31295038</v>
      </c>
      <c r="L2" s="81">
        <f>+SUMIFS(PERSONAL!$P$2:$P$199,PERSONAL!$A$2:$A$199,L$1)</f>
        <v>31485861</v>
      </c>
      <c r="M2" s="81">
        <f>+SUMIFS(PERSONAL!$P$2:$P$199,PERSONAL!$A$2:$A$199,M$1)</f>
        <v>5724702</v>
      </c>
      <c r="N2" s="81">
        <f>+SUMIFS(PERSONAL!$P$2:$P$199,PERSONAL!$A$2:$A$199,N$1)</f>
        <v>5724702</v>
      </c>
      <c r="O2" s="81">
        <f>+SUMIFS(PERSONAL!$P$2:$P$199,PERSONAL!$A$2:$A$199,O$1)</f>
        <v>8587053</v>
      </c>
      <c r="P2" s="81">
        <f>+SUMIFS(PERSONAL!$P$2:$P$199,PERSONAL!$A$2:$A$199,P$1)</f>
        <v>8587053</v>
      </c>
      <c r="Q2" s="81">
        <f>+SUMIFS(PERSONAL!$P$2:$P$199,PERSONAL!$A$2:$A$199,Q$1)</f>
        <v>16887871</v>
      </c>
      <c r="R2" s="81">
        <f>+SUMIFS(PERSONAL!$P$2:$P$199,PERSONAL!$A$2:$A$199,R$1)</f>
        <v>2862351</v>
      </c>
      <c r="S2" s="81">
        <f>+SUMIFS(PERSONAL!$P$2:$P$199,PERSONAL!$A$2:$A$199,S$1)</f>
        <v>21753868</v>
      </c>
      <c r="T2" s="81">
        <f>+SUMIFS(PERSONAL!$P$2:$P$199,PERSONAL!$A$2:$A$199,T$1)</f>
        <v>16792460</v>
      </c>
      <c r="U2" s="81">
        <f>+SUMIFS(PERSONAL!$P$2:$P$199,PERSONAL!$A$2:$A$199,U$1)</f>
        <v>11353993</v>
      </c>
      <c r="V2" s="81">
        <f>+SUMIFS(PERSONAL!$P$2:$P$199,PERSONAL!$A$2:$A$199,V$1)</f>
        <v>8587053</v>
      </c>
      <c r="W2" s="81">
        <f>+SUMIFS(PERSONAL!$P$2:$P$199,PERSONAL!$A$2:$A$199,W$1)</f>
        <v>5724702</v>
      </c>
      <c r="X2" s="81">
        <f>+SUMIFS(PERSONAL!$P$2:$P$199,PERSONAL!$A$2:$A$199,X$1)</f>
        <v>8587053</v>
      </c>
      <c r="Y2" s="81">
        <f>+SUMIFS(PERSONAL!$P$2:$P$199,PERSONAL!$A$2:$A$199,Y$1)</f>
        <v>0</v>
      </c>
      <c r="Z2" s="80">
        <f>+SUMIFS(PERSONAL!$P$2:$P$199,PERSONAL!$A$2:$A$199,Z$1)</f>
        <v>0</v>
      </c>
      <c r="AN2" s="76"/>
    </row>
    <row r="3" spans="1:41">
      <c r="B3" s="77"/>
      <c r="AA3" s="78"/>
      <c r="AO3" s="79"/>
    </row>
    <row r="4" spans="1:41" s="79" customFormat="1" ht="45">
      <c r="A4" s="262" t="s">
        <v>698</v>
      </c>
      <c r="B4" s="266" t="s">
        <v>700</v>
      </c>
      <c r="C4" s="266" t="s">
        <v>701</v>
      </c>
      <c r="D4" s="266" t="s">
        <v>702</v>
      </c>
      <c r="E4" s="266" t="s">
        <v>703</v>
      </c>
      <c r="F4" s="266" t="s">
        <v>704</v>
      </c>
      <c r="G4" s="266" t="s">
        <v>705</v>
      </c>
      <c r="H4" s="266" t="s">
        <v>706</v>
      </c>
      <c r="I4" s="266" t="s">
        <v>707</v>
      </c>
      <c r="J4" s="266" t="s">
        <v>708</v>
      </c>
      <c r="K4" s="266" t="s">
        <v>709</v>
      </c>
      <c r="L4" s="266" t="s">
        <v>710</v>
      </c>
      <c r="M4" s="266" t="s">
        <v>711</v>
      </c>
      <c r="N4" s="266" t="s">
        <v>712</v>
      </c>
      <c r="O4" s="266" t="s">
        <v>713</v>
      </c>
      <c r="P4" s="266" t="s">
        <v>714</v>
      </c>
      <c r="Q4" s="266" t="s">
        <v>715</v>
      </c>
      <c r="R4" s="266" t="s">
        <v>716</v>
      </c>
      <c r="S4" s="266" t="s">
        <v>717</v>
      </c>
      <c r="T4" s="266" t="s">
        <v>718</v>
      </c>
      <c r="U4" s="266" t="s">
        <v>719</v>
      </c>
      <c r="V4" s="266" t="s">
        <v>720</v>
      </c>
      <c r="W4" s="266" t="s">
        <v>721</v>
      </c>
      <c r="X4" s="266" t="s">
        <v>722</v>
      </c>
      <c r="Y4" s="266" t="s">
        <v>723</v>
      </c>
      <c r="Z4" s="266" t="s">
        <v>724</v>
      </c>
    </row>
    <row r="5" spans="1:41" s="79" customFormat="1">
      <c r="A5" s="263" t="s">
        <v>583</v>
      </c>
      <c r="B5" s="77">
        <v>538317.66570000001</v>
      </c>
      <c r="C5" s="77">
        <v>178018.353</v>
      </c>
      <c r="D5" s="77">
        <v>178018.353</v>
      </c>
      <c r="E5" s="77">
        <v>0</v>
      </c>
      <c r="F5" s="77">
        <v>284829.36479999998</v>
      </c>
      <c r="G5" s="77">
        <v>0</v>
      </c>
      <c r="H5" s="77">
        <v>172948.16399999999</v>
      </c>
      <c r="I5" s="77">
        <v>0</v>
      </c>
      <c r="J5" s="77">
        <v>178018.353</v>
      </c>
      <c r="K5" s="77">
        <v>296697.255</v>
      </c>
      <c r="L5" s="77">
        <v>356036.70600000001</v>
      </c>
      <c r="M5" s="77">
        <v>0</v>
      </c>
      <c r="N5" s="77">
        <v>21200.685899999997</v>
      </c>
      <c r="O5" s="77">
        <v>59339.451000000001</v>
      </c>
      <c r="P5" s="77">
        <v>59339.451000000001</v>
      </c>
      <c r="Q5" s="77">
        <v>178018.353</v>
      </c>
      <c r="R5" s="77">
        <v>21200.685899999997</v>
      </c>
      <c r="S5" s="77">
        <v>59339.451000000001</v>
      </c>
      <c r="T5" s="77">
        <v>0</v>
      </c>
      <c r="U5" s="77">
        <v>0</v>
      </c>
      <c r="V5" s="77">
        <v>41537.615700000002</v>
      </c>
      <c r="W5" s="77">
        <v>23735.7804</v>
      </c>
      <c r="X5" s="77">
        <v>178018.353</v>
      </c>
      <c r="Y5" s="77">
        <v>23735.7804</v>
      </c>
      <c r="Z5" s="77">
        <v>29669.7255</v>
      </c>
    </row>
    <row r="6" spans="1:41" s="79" customFormat="1">
      <c r="A6" s="263" t="s">
        <v>577</v>
      </c>
      <c r="B6" s="77">
        <v>5439281.6385000004</v>
      </c>
      <c r="C6" s="77">
        <v>483491.70120000001</v>
      </c>
      <c r="D6" s="77">
        <v>483491.70120000001</v>
      </c>
      <c r="E6" s="77">
        <v>0</v>
      </c>
      <c r="F6" s="77">
        <v>531840.87132000003</v>
      </c>
      <c r="G6" s="77">
        <v>0</v>
      </c>
      <c r="H6" s="77">
        <v>265920.43566000002</v>
      </c>
      <c r="I6" s="77">
        <v>0</v>
      </c>
      <c r="J6" s="77">
        <v>604364.62650000001</v>
      </c>
      <c r="K6" s="77">
        <v>362618.77590000001</v>
      </c>
      <c r="L6" s="77">
        <v>725237.55180000002</v>
      </c>
      <c r="M6" s="77">
        <v>0</v>
      </c>
      <c r="N6" s="77">
        <v>0</v>
      </c>
      <c r="O6" s="77">
        <v>120872.9253</v>
      </c>
      <c r="P6" s="77">
        <v>120872.9253</v>
      </c>
      <c r="Q6" s="77">
        <v>483491.70120000001</v>
      </c>
      <c r="R6" s="77">
        <v>0</v>
      </c>
      <c r="S6" s="77">
        <v>241745.85060000001</v>
      </c>
      <c r="T6" s="77">
        <v>0</v>
      </c>
      <c r="U6" s="77">
        <v>483491.70120000001</v>
      </c>
      <c r="V6" s="77">
        <v>120872.9253</v>
      </c>
      <c r="W6" s="77">
        <v>0</v>
      </c>
      <c r="X6" s="77">
        <v>302182.31325000001</v>
      </c>
      <c r="Y6" s="77">
        <v>241745.85060000001</v>
      </c>
      <c r="Z6" s="77">
        <v>483491.70120000001</v>
      </c>
    </row>
    <row r="7" spans="1:41" s="79" customFormat="1">
      <c r="A7" s="263" t="s">
        <v>580</v>
      </c>
      <c r="B7" s="77">
        <v>47648.027099999999</v>
      </c>
      <c r="C7" s="77">
        <v>0</v>
      </c>
      <c r="D7" s="77">
        <v>0</v>
      </c>
      <c r="E7" s="77">
        <v>0</v>
      </c>
      <c r="F7" s="77">
        <v>0</v>
      </c>
      <c r="G7" s="77">
        <v>0</v>
      </c>
      <c r="H7" s="77">
        <v>0</v>
      </c>
      <c r="I7" s="77">
        <v>0</v>
      </c>
      <c r="J7" s="77">
        <v>0</v>
      </c>
      <c r="K7" s="77">
        <v>0</v>
      </c>
      <c r="L7" s="77">
        <v>0</v>
      </c>
      <c r="M7" s="77">
        <v>0</v>
      </c>
      <c r="N7" s="77">
        <v>0</v>
      </c>
      <c r="O7" s="77">
        <v>0</v>
      </c>
      <c r="P7" s="77">
        <v>0</v>
      </c>
      <c r="Q7" s="77">
        <v>0</v>
      </c>
      <c r="R7" s="77">
        <v>0</v>
      </c>
      <c r="S7" s="77">
        <v>0</v>
      </c>
      <c r="T7" s="77">
        <v>0</v>
      </c>
      <c r="U7" s="77">
        <v>0</v>
      </c>
      <c r="V7" s="77">
        <v>0</v>
      </c>
      <c r="W7" s="77">
        <v>0</v>
      </c>
      <c r="X7" s="77">
        <v>0</v>
      </c>
      <c r="Y7" s="77">
        <v>0</v>
      </c>
      <c r="Z7" s="77">
        <v>0</v>
      </c>
    </row>
    <row r="8" spans="1:41" s="79" customFormat="1">
      <c r="A8" s="263" t="s">
        <v>590</v>
      </c>
      <c r="B8" s="77">
        <v>0</v>
      </c>
      <c r="C8" s="77">
        <v>0</v>
      </c>
      <c r="D8" s="77">
        <v>0</v>
      </c>
      <c r="E8" s="77">
        <v>0</v>
      </c>
      <c r="F8" s="77">
        <v>0</v>
      </c>
      <c r="G8" s="77">
        <v>0</v>
      </c>
      <c r="H8" s="77">
        <v>0</v>
      </c>
      <c r="I8" s="77">
        <v>0</v>
      </c>
      <c r="J8" s="77">
        <v>0</v>
      </c>
      <c r="K8" s="77">
        <v>0</v>
      </c>
      <c r="L8" s="77">
        <v>0</v>
      </c>
      <c r="M8" s="77">
        <v>0</v>
      </c>
      <c r="N8" s="77">
        <v>39030.384299999998</v>
      </c>
      <c r="O8" s="77">
        <v>0</v>
      </c>
      <c r="P8" s="77">
        <v>0</v>
      </c>
      <c r="Q8" s="77">
        <v>117091.15289999999</v>
      </c>
      <c r="R8" s="77">
        <v>39030.384299999998</v>
      </c>
      <c r="S8" s="77">
        <v>39030.384299999998</v>
      </c>
      <c r="T8" s="77">
        <v>0</v>
      </c>
      <c r="U8" s="77">
        <v>3903.0384299999996</v>
      </c>
      <c r="V8" s="77">
        <v>0</v>
      </c>
      <c r="W8" s="77">
        <v>0</v>
      </c>
      <c r="X8" s="77">
        <v>0</v>
      </c>
      <c r="Y8" s="77">
        <v>0</v>
      </c>
      <c r="Z8" s="77">
        <v>0</v>
      </c>
    </row>
    <row r="9" spans="1:41" s="79" customFormat="1">
      <c r="A9" s="263" t="s">
        <v>587</v>
      </c>
      <c r="B9" s="77">
        <v>1569067.395</v>
      </c>
      <c r="C9" s="77">
        <v>119793.42600000001</v>
      </c>
      <c r="D9" s="77">
        <v>74870.891250000001</v>
      </c>
      <c r="E9" s="77">
        <v>0</v>
      </c>
      <c r="F9" s="77">
        <v>181257.18660000002</v>
      </c>
      <c r="G9" s="77">
        <v>0</v>
      </c>
      <c r="H9" s="77">
        <v>47525.608500000002</v>
      </c>
      <c r="I9" s="77">
        <v>54690.565500000004</v>
      </c>
      <c r="J9" s="77">
        <v>132164.53049999999</v>
      </c>
      <c r="K9" s="77">
        <v>72267.817500000005</v>
      </c>
      <c r="L9" s="77">
        <v>119793.42600000001</v>
      </c>
      <c r="M9" s="77">
        <v>36133.908750000002</v>
      </c>
      <c r="N9" s="77">
        <v>14061.801599999999</v>
      </c>
      <c r="O9" s="77">
        <v>27474.135600000001</v>
      </c>
      <c r="P9" s="77">
        <v>29948.356500000002</v>
      </c>
      <c r="Q9" s="77">
        <v>17577.252</v>
      </c>
      <c r="R9" s="77">
        <v>0</v>
      </c>
      <c r="S9" s="77">
        <v>119793.42600000001</v>
      </c>
      <c r="T9" s="77">
        <v>0</v>
      </c>
      <c r="U9" s="77">
        <v>70309.008000000002</v>
      </c>
      <c r="V9" s="77">
        <v>18489.628649999999</v>
      </c>
      <c r="W9" s="77">
        <v>8788.6260000000002</v>
      </c>
      <c r="X9" s="77">
        <v>59896.713000000003</v>
      </c>
      <c r="Y9" s="77">
        <v>29948.356500000002</v>
      </c>
      <c r="Z9" s="77">
        <v>24742.209000000003</v>
      </c>
    </row>
    <row r="10" spans="1:41" s="79" customFormat="1">
      <c r="A10" s="263" t="s">
        <v>594</v>
      </c>
      <c r="B10" s="77">
        <v>180804.43920000002</v>
      </c>
      <c r="C10" s="77">
        <v>90402.219600000011</v>
      </c>
      <c r="D10" s="77">
        <v>90402.219600000011</v>
      </c>
      <c r="E10" s="77">
        <v>0</v>
      </c>
      <c r="F10" s="77">
        <v>108482.66352</v>
      </c>
      <c r="G10" s="77">
        <v>90402.219600000011</v>
      </c>
      <c r="H10" s="77">
        <v>18080.443920000002</v>
      </c>
      <c r="I10" s="77">
        <v>90402.219600000011</v>
      </c>
      <c r="J10" s="77">
        <v>81361.997640000001</v>
      </c>
      <c r="K10" s="77">
        <v>90402.219600000011</v>
      </c>
      <c r="L10" s="77">
        <v>90402.219600000011</v>
      </c>
      <c r="M10" s="77">
        <v>45201.109800000006</v>
      </c>
      <c r="N10" s="77">
        <v>0</v>
      </c>
      <c r="O10" s="77">
        <v>54241.331760000001</v>
      </c>
      <c r="P10" s="77">
        <v>54241.331760000001</v>
      </c>
      <c r="Q10" s="77">
        <v>0</v>
      </c>
      <c r="R10" s="77">
        <v>0</v>
      </c>
      <c r="S10" s="77">
        <v>72321.775680000006</v>
      </c>
      <c r="T10" s="77">
        <v>90402.219600000011</v>
      </c>
      <c r="U10" s="77">
        <v>0</v>
      </c>
      <c r="V10" s="77">
        <v>72321.775680000006</v>
      </c>
      <c r="W10" s="77">
        <v>18080.443920000002</v>
      </c>
      <c r="X10" s="77">
        <v>36160.887840000003</v>
      </c>
      <c r="Y10" s="77">
        <v>36160.887840000003</v>
      </c>
      <c r="Z10" s="77">
        <v>90402.219600000011</v>
      </c>
    </row>
    <row r="11" spans="1:41" s="79" customFormat="1">
      <c r="A11" s="263" t="s">
        <v>570</v>
      </c>
      <c r="B11" s="77">
        <v>32281.5834</v>
      </c>
      <c r="C11" s="77">
        <v>8608.4222399999999</v>
      </c>
      <c r="D11" s="77">
        <v>0</v>
      </c>
      <c r="E11" s="77">
        <v>0</v>
      </c>
      <c r="F11" s="77">
        <v>8608.4222399999999</v>
      </c>
      <c r="G11" s="77">
        <v>8608.4222399999999</v>
      </c>
      <c r="H11" s="77">
        <v>8608.4222399999999</v>
      </c>
      <c r="I11" s="77">
        <v>0</v>
      </c>
      <c r="J11" s="77">
        <v>8608.4222399999999</v>
      </c>
      <c r="K11" s="77">
        <v>0</v>
      </c>
      <c r="L11" s="77">
        <v>4304.2111199999999</v>
      </c>
      <c r="M11" s="77">
        <v>9182.2901999999995</v>
      </c>
      <c r="N11" s="77">
        <v>0</v>
      </c>
      <c r="O11" s="77">
        <v>2152.10556</v>
      </c>
      <c r="P11" s="77">
        <v>8608.4222399999999</v>
      </c>
      <c r="Q11" s="77">
        <v>114778.62749999999</v>
      </c>
      <c r="R11" s="77">
        <v>0</v>
      </c>
      <c r="S11" s="77">
        <v>11477.86275</v>
      </c>
      <c r="T11" s="77">
        <v>0</v>
      </c>
      <c r="U11" s="77">
        <v>0</v>
      </c>
      <c r="V11" s="77">
        <v>8608.4222399999999</v>
      </c>
      <c r="W11" s="77">
        <v>6456.3166799999999</v>
      </c>
      <c r="X11" s="77">
        <v>0</v>
      </c>
      <c r="Y11" s="77">
        <v>10760.5278</v>
      </c>
      <c r="Z11" s="77">
        <v>4304.2111199999999</v>
      </c>
    </row>
    <row r="12" spans="1:41" s="79" customFormat="1">
      <c r="A12" s="263" t="s">
        <v>499</v>
      </c>
      <c r="B12" s="77">
        <v>42373.396800000002</v>
      </c>
      <c r="C12" s="77">
        <v>10057.034880000001</v>
      </c>
      <c r="D12" s="77">
        <v>10057.034880000001</v>
      </c>
      <c r="E12" s="77">
        <v>0</v>
      </c>
      <c r="F12" s="77">
        <v>10057.034880000001</v>
      </c>
      <c r="G12" s="77">
        <v>0</v>
      </c>
      <c r="H12" s="77">
        <v>12571.293600000001</v>
      </c>
      <c r="I12" s="77">
        <v>0</v>
      </c>
      <c r="J12" s="77">
        <v>10057.034880000001</v>
      </c>
      <c r="K12" s="77">
        <v>0</v>
      </c>
      <c r="L12" s="77">
        <v>11704.02384</v>
      </c>
      <c r="M12" s="77">
        <v>24058.5</v>
      </c>
      <c r="N12" s="77">
        <v>0</v>
      </c>
      <c r="O12" s="77">
        <v>0</v>
      </c>
      <c r="P12" s="77">
        <v>0</v>
      </c>
      <c r="Q12" s="77">
        <v>18856.940400000003</v>
      </c>
      <c r="R12" s="77">
        <v>5028.5174400000005</v>
      </c>
      <c r="S12" s="77">
        <v>10057.034880000001</v>
      </c>
      <c r="T12" s="77">
        <v>12571.293600000001</v>
      </c>
      <c r="U12" s="77">
        <v>0</v>
      </c>
      <c r="V12" s="77">
        <v>7217.5500000000011</v>
      </c>
      <c r="W12" s="77">
        <v>14868.73488</v>
      </c>
      <c r="X12" s="77">
        <v>6285.6468000000004</v>
      </c>
      <c r="Y12" s="77">
        <v>2297.44128</v>
      </c>
      <c r="Z12" s="77">
        <v>7217.5500000000011</v>
      </c>
    </row>
    <row r="13" spans="1:41" s="79" customFormat="1">
      <c r="A13" s="263" t="s">
        <v>523</v>
      </c>
      <c r="B13" s="77">
        <v>103304.28959999999</v>
      </c>
      <c r="C13" s="77">
        <v>41321.715839999997</v>
      </c>
      <c r="D13" s="77">
        <v>0</v>
      </c>
      <c r="E13" s="77">
        <v>0</v>
      </c>
      <c r="F13" s="77">
        <v>77478.217199999999</v>
      </c>
      <c r="G13" s="77">
        <v>0</v>
      </c>
      <c r="H13" s="77">
        <v>41321.715839999997</v>
      </c>
      <c r="I13" s="77">
        <v>0</v>
      </c>
      <c r="J13" s="77">
        <v>41321.715839999997</v>
      </c>
      <c r="K13" s="77">
        <v>81368.935440000001</v>
      </c>
      <c r="L13" s="77">
        <v>62145.276359999996</v>
      </c>
      <c r="M13" s="77">
        <v>0</v>
      </c>
      <c r="N13" s="77">
        <v>0</v>
      </c>
      <c r="O13" s="77">
        <v>0</v>
      </c>
      <c r="P13" s="77">
        <v>20660.857919999999</v>
      </c>
      <c r="Q13" s="77">
        <v>41321.715839999997</v>
      </c>
      <c r="R13" s="77">
        <v>20660.857919999999</v>
      </c>
      <c r="S13" s="77">
        <v>25826.072399999997</v>
      </c>
      <c r="T13" s="77">
        <v>0</v>
      </c>
      <c r="U13" s="77">
        <v>20342.23386</v>
      </c>
      <c r="V13" s="77">
        <v>10171.11693</v>
      </c>
      <c r="W13" s="77">
        <v>0</v>
      </c>
      <c r="X13" s="77">
        <v>20660.857919999999</v>
      </c>
      <c r="Y13" s="77">
        <v>25826.072399999997</v>
      </c>
      <c r="Z13" s="77">
        <v>8147.7970799999994</v>
      </c>
    </row>
    <row r="14" spans="1:41" s="79" customFormat="1">
      <c r="A14" s="263" t="s">
        <v>490</v>
      </c>
      <c r="B14" s="77">
        <v>401431.68255000009</v>
      </c>
      <c r="C14" s="77">
        <v>144411.58266000001</v>
      </c>
      <c r="D14" s="77">
        <v>7516.3230000000003</v>
      </c>
      <c r="E14" s="77">
        <v>0</v>
      </c>
      <c r="F14" s="77">
        <v>294925.63182000001</v>
      </c>
      <c r="G14" s="77">
        <v>0</v>
      </c>
      <c r="H14" s="77">
        <v>142703.82081</v>
      </c>
      <c r="I14" s="77">
        <v>0</v>
      </c>
      <c r="J14" s="77">
        <v>64498.264800000004</v>
      </c>
      <c r="K14" s="77">
        <v>7516.3230000000003</v>
      </c>
      <c r="L14" s="77">
        <v>66104.992140000002</v>
      </c>
      <c r="M14" s="77">
        <v>0</v>
      </c>
      <c r="N14" s="77">
        <v>5192.8985400000001</v>
      </c>
      <c r="O14" s="77">
        <v>90201.582900000009</v>
      </c>
      <c r="P14" s="77">
        <v>133292.39298</v>
      </c>
      <c r="Q14" s="77">
        <v>186626.73048</v>
      </c>
      <c r="R14" s="77">
        <v>347668.91351999994</v>
      </c>
      <c r="S14" s="77">
        <v>169556.03859000001</v>
      </c>
      <c r="T14" s="77">
        <v>0</v>
      </c>
      <c r="U14" s="77">
        <v>8335.3974300000009</v>
      </c>
      <c r="V14" s="77">
        <v>11208.86634</v>
      </c>
      <c r="W14" s="77">
        <v>12982.246350000001</v>
      </c>
      <c r="X14" s="77">
        <v>7426.6463400000002</v>
      </c>
      <c r="Y14" s="77">
        <v>0</v>
      </c>
      <c r="Z14" s="77">
        <v>4304.2111200000008</v>
      </c>
    </row>
    <row r="15" spans="1:41" s="79" customFormat="1">
      <c r="A15" s="263" t="s">
        <v>544</v>
      </c>
      <c r="B15" s="77">
        <v>22729.172760000005</v>
      </c>
      <c r="C15" s="77">
        <v>0</v>
      </c>
      <c r="D15" s="77">
        <v>0</v>
      </c>
      <c r="E15" s="77">
        <v>0</v>
      </c>
      <c r="F15" s="77">
        <v>0</v>
      </c>
      <c r="G15" s="77">
        <v>0</v>
      </c>
      <c r="H15" s="77">
        <v>0</v>
      </c>
      <c r="I15" s="77">
        <v>0</v>
      </c>
      <c r="J15" s="77">
        <v>0</v>
      </c>
      <c r="K15" s="77">
        <v>0</v>
      </c>
      <c r="L15" s="77">
        <v>0</v>
      </c>
      <c r="M15" s="77">
        <v>0</v>
      </c>
      <c r="N15" s="77">
        <v>0</v>
      </c>
      <c r="O15" s="77">
        <v>0</v>
      </c>
      <c r="P15" s="77">
        <v>0</v>
      </c>
      <c r="Q15" s="77">
        <v>0</v>
      </c>
      <c r="R15" s="77">
        <v>0</v>
      </c>
      <c r="S15" s="77">
        <v>0</v>
      </c>
      <c r="T15" s="77">
        <v>0</v>
      </c>
      <c r="U15" s="77">
        <v>0</v>
      </c>
      <c r="V15" s="77">
        <v>0</v>
      </c>
      <c r="W15" s="77">
        <v>0</v>
      </c>
      <c r="X15" s="77">
        <v>0</v>
      </c>
      <c r="Y15" s="77">
        <v>18520.61376</v>
      </c>
      <c r="Z15" s="77">
        <v>0</v>
      </c>
    </row>
    <row r="16" spans="1:41" s="79" customFormat="1">
      <c r="A16" s="263" t="s">
        <v>564</v>
      </c>
      <c r="B16" s="77">
        <v>32085.702449999997</v>
      </c>
      <c r="C16" s="77">
        <v>0</v>
      </c>
      <c r="D16" s="77">
        <v>0</v>
      </c>
      <c r="E16" s="77">
        <v>0</v>
      </c>
      <c r="F16" s="77">
        <v>19251.421469999997</v>
      </c>
      <c r="G16" s="77">
        <v>4278.0936599999995</v>
      </c>
      <c r="H16" s="77">
        <v>8556.1873199999991</v>
      </c>
      <c r="I16" s="77">
        <v>0</v>
      </c>
      <c r="J16" s="77">
        <v>0</v>
      </c>
      <c r="K16" s="77">
        <v>8556.1873199999991</v>
      </c>
      <c r="L16" s="77">
        <v>8556.1873199999991</v>
      </c>
      <c r="M16" s="77">
        <v>0</v>
      </c>
      <c r="N16" s="77">
        <v>0</v>
      </c>
      <c r="O16" s="77">
        <v>2139.0468299999998</v>
      </c>
      <c r="P16" s="77">
        <v>4278.0936599999995</v>
      </c>
      <c r="Q16" s="77">
        <v>17112.374639999998</v>
      </c>
      <c r="R16" s="77">
        <v>4278.0936599999995</v>
      </c>
      <c r="S16" s="77">
        <v>21390.468299999997</v>
      </c>
      <c r="T16" s="77">
        <v>0</v>
      </c>
      <c r="U16" s="77">
        <v>0</v>
      </c>
      <c r="V16" s="77">
        <v>14973.327809999999</v>
      </c>
      <c r="W16" s="77">
        <v>6417.1404899999998</v>
      </c>
      <c r="X16" s="77">
        <v>0</v>
      </c>
      <c r="Y16" s="77">
        <v>10695.234149999998</v>
      </c>
      <c r="Z16" s="77">
        <v>0</v>
      </c>
    </row>
    <row r="17" spans="1:26" s="79" customFormat="1">
      <c r="A17" s="263" t="s">
        <v>548</v>
      </c>
      <c r="B17" s="77">
        <v>1838687.6474999997</v>
      </c>
      <c r="C17" s="77">
        <v>294190.02359999996</v>
      </c>
      <c r="D17" s="77">
        <v>147095.01179999998</v>
      </c>
      <c r="E17" s="77">
        <v>0</v>
      </c>
      <c r="F17" s="77">
        <v>941408.07551999984</v>
      </c>
      <c r="G17" s="77">
        <v>441285.03539999994</v>
      </c>
      <c r="H17" s="77">
        <v>294190.02359999996</v>
      </c>
      <c r="I17" s="77">
        <v>0</v>
      </c>
      <c r="J17" s="77">
        <v>588380.04719999991</v>
      </c>
      <c r="K17" s="77">
        <v>441285.03539999994</v>
      </c>
      <c r="L17" s="77">
        <v>441285.03539999994</v>
      </c>
      <c r="M17" s="77">
        <v>0</v>
      </c>
      <c r="N17" s="77">
        <v>0</v>
      </c>
      <c r="O17" s="77">
        <v>294190.02359999996</v>
      </c>
      <c r="P17" s="77">
        <v>294190.02359999996</v>
      </c>
      <c r="Q17" s="77">
        <v>441285.03539999994</v>
      </c>
      <c r="R17" s="77">
        <v>294190.02359999996</v>
      </c>
      <c r="S17" s="77">
        <v>220642.51769999997</v>
      </c>
      <c r="T17" s="77">
        <v>220642.51769999997</v>
      </c>
      <c r="U17" s="77">
        <v>220642.51769999997</v>
      </c>
      <c r="V17" s="77">
        <v>66192.755309999993</v>
      </c>
      <c r="W17" s="77">
        <v>0</v>
      </c>
      <c r="X17" s="77">
        <v>220642.51769999997</v>
      </c>
      <c r="Y17" s="77">
        <v>147095.01179999998</v>
      </c>
      <c r="Z17" s="77">
        <v>353028.02831999992</v>
      </c>
    </row>
    <row r="18" spans="1:26" s="79" customFormat="1">
      <c r="A18" s="263" t="s">
        <v>567</v>
      </c>
      <c r="B18" s="77">
        <v>85062.463499999983</v>
      </c>
      <c r="C18" s="77">
        <v>0</v>
      </c>
      <c r="D18" s="77">
        <v>0</v>
      </c>
      <c r="E18" s="77">
        <v>0</v>
      </c>
      <c r="F18" s="77">
        <v>0</v>
      </c>
      <c r="G18" s="77">
        <v>0</v>
      </c>
      <c r="H18" s="77">
        <v>0</v>
      </c>
      <c r="I18" s="77">
        <v>0</v>
      </c>
      <c r="J18" s="77">
        <v>0</v>
      </c>
      <c r="K18" s="77">
        <v>0</v>
      </c>
      <c r="L18" s="77">
        <v>0</v>
      </c>
      <c r="M18" s="77">
        <v>0</v>
      </c>
      <c r="N18" s="77">
        <v>0</v>
      </c>
      <c r="O18" s="77">
        <v>0</v>
      </c>
      <c r="P18" s="77">
        <v>0</v>
      </c>
      <c r="Q18" s="77">
        <v>0</v>
      </c>
      <c r="R18" s="77">
        <v>0</v>
      </c>
      <c r="S18" s="77">
        <v>0</v>
      </c>
      <c r="T18" s="77">
        <v>0</v>
      </c>
      <c r="U18" s="77">
        <v>0</v>
      </c>
      <c r="V18" s="77">
        <v>0</v>
      </c>
      <c r="W18" s="77">
        <v>0</v>
      </c>
      <c r="X18" s="77">
        <v>0</v>
      </c>
      <c r="Y18" s="77">
        <v>0</v>
      </c>
      <c r="Z18" s="77">
        <v>0</v>
      </c>
    </row>
    <row r="19" spans="1:26" s="79" customFormat="1">
      <c r="A19" s="263" t="s">
        <v>556</v>
      </c>
      <c r="B19" s="77">
        <v>12903.300899999998</v>
      </c>
      <c r="C19" s="77">
        <v>0</v>
      </c>
      <c r="D19" s="77">
        <v>0</v>
      </c>
      <c r="E19" s="77">
        <v>0</v>
      </c>
      <c r="F19" s="77">
        <v>0</v>
      </c>
      <c r="G19" s="77">
        <v>0</v>
      </c>
      <c r="H19" s="77">
        <v>0</v>
      </c>
      <c r="I19" s="77">
        <v>0</v>
      </c>
      <c r="J19" s="77">
        <v>0</v>
      </c>
      <c r="K19" s="77">
        <v>0</v>
      </c>
      <c r="L19" s="77">
        <v>0</v>
      </c>
      <c r="M19" s="77">
        <v>0</v>
      </c>
      <c r="N19" s="77">
        <v>0</v>
      </c>
      <c r="O19" s="77">
        <v>0</v>
      </c>
      <c r="P19" s="77">
        <v>0</v>
      </c>
      <c r="Q19" s="77">
        <v>0</v>
      </c>
      <c r="R19" s="77">
        <v>0</v>
      </c>
      <c r="S19" s="77">
        <v>0</v>
      </c>
      <c r="T19" s="77">
        <v>0</v>
      </c>
      <c r="U19" s="77">
        <v>0</v>
      </c>
      <c r="V19" s="77">
        <v>0</v>
      </c>
      <c r="W19" s="77">
        <v>0</v>
      </c>
      <c r="X19" s="77">
        <v>0</v>
      </c>
      <c r="Y19" s="77">
        <v>0</v>
      </c>
      <c r="Z19" s="77">
        <v>0</v>
      </c>
    </row>
    <row r="20" spans="1:26" s="79" customFormat="1">
      <c r="A20" s="263" t="s">
        <v>552</v>
      </c>
      <c r="B20" s="77">
        <v>2273417.469</v>
      </c>
      <c r="C20" s="77">
        <v>202081.5528</v>
      </c>
      <c r="D20" s="77">
        <v>0</v>
      </c>
      <c r="E20" s="77">
        <v>0</v>
      </c>
      <c r="F20" s="77">
        <v>444579.41615999996</v>
      </c>
      <c r="G20" s="77">
        <v>0</v>
      </c>
      <c r="H20" s="77">
        <v>212185.63043999998</v>
      </c>
      <c r="I20" s="77">
        <v>0</v>
      </c>
      <c r="J20" s="77">
        <v>404163.10560000001</v>
      </c>
      <c r="K20" s="77">
        <v>0</v>
      </c>
      <c r="L20" s="77">
        <v>0</v>
      </c>
      <c r="M20" s="77">
        <v>50520.388200000001</v>
      </c>
      <c r="N20" s="77">
        <v>202081.5528</v>
      </c>
      <c r="O20" s="77">
        <v>202081.5528</v>
      </c>
      <c r="P20" s="77">
        <v>202081.5528</v>
      </c>
      <c r="Q20" s="77">
        <v>303122.32919999998</v>
      </c>
      <c r="R20" s="77">
        <v>202081.5528</v>
      </c>
      <c r="S20" s="77">
        <v>35585.095199999996</v>
      </c>
      <c r="T20" s="77">
        <v>0</v>
      </c>
      <c r="U20" s="77">
        <v>151561.16459999999</v>
      </c>
      <c r="V20" s="77">
        <v>151561.16459999999</v>
      </c>
      <c r="W20" s="77">
        <v>0</v>
      </c>
      <c r="X20" s="77">
        <v>126300.9705</v>
      </c>
      <c r="Y20" s="77">
        <v>101040.7764</v>
      </c>
      <c r="Z20" s="77">
        <v>303122.32919999998</v>
      </c>
    </row>
    <row r="21" spans="1:26" s="79" customFormat="1">
      <c r="A21" s="263" t="s">
        <v>559</v>
      </c>
      <c r="B21" s="77">
        <v>586822.06350000005</v>
      </c>
      <c r="C21" s="77">
        <v>46945.765079999997</v>
      </c>
      <c r="D21" s="77">
        <v>46945.765079999997</v>
      </c>
      <c r="E21" s="77">
        <v>0</v>
      </c>
      <c r="F21" s="77">
        <v>204630.72431999998</v>
      </c>
      <c r="G21" s="77">
        <v>18602.793119999998</v>
      </c>
      <c r="H21" s="77">
        <v>28342.971960000003</v>
      </c>
      <c r="I21" s="77">
        <v>18602.793119999998</v>
      </c>
      <c r="J21" s="77">
        <v>117364.4127</v>
      </c>
      <c r="K21" s="77">
        <v>46945.765079999997</v>
      </c>
      <c r="L21" s="77">
        <v>46945.765079999997</v>
      </c>
      <c r="M21" s="77">
        <v>129539.63625000001</v>
      </c>
      <c r="N21" s="77">
        <v>18602.793119999998</v>
      </c>
      <c r="O21" s="77">
        <v>117364.4127</v>
      </c>
      <c r="P21" s="77">
        <v>23472.882539999999</v>
      </c>
      <c r="Q21" s="77">
        <v>342813.58370999998</v>
      </c>
      <c r="R21" s="77">
        <v>9301.3965599999992</v>
      </c>
      <c r="S21" s="77">
        <v>352093.23810000002</v>
      </c>
      <c r="T21" s="77">
        <v>0</v>
      </c>
      <c r="U21" s="77">
        <v>0</v>
      </c>
      <c r="V21" s="77">
        <v>0</v>
      </c>
      <c r="W21" s="77">
        <v>0</v>
      </c>
      <c r="X21" s="77">
        <v>139520.94839999999</v>
      </c>
      <c r="Y21" s="77">
        <v>281235.80819999997</v>
      </c>
      <c r="Z21" s="77">
        <v>255086.74764000002</v>
      </c>
    </row>
    <row r="22" spans="1:26" s="79" customFormat="1">
      <c r="A22" s="263" t="s">
        <v>486</v>
      </c>
      <c r="B22" s="77">
        <v>144774.93315</v>
      </c>
      <c r="C22" s="77">
        <v>0</v>
      </c>
      <c r="D22" s="77">
        <v>0</v>
      </c>
      <c r="E22" s="77">
        <v>0</v>
      </c>
      <c r="F22" s="77">
        <v>40259.605799999998</v>
      </c>
      <c r="G22" s="77">
        <v>0</v>
      </c>
      <c r="H22" s="77">
        <v>0</v>
      </c>
      <c r="I22" s="77">
        <v>0</v>
      </c>
      <c r="J22" s="77">
        <v>0</v>
      </c>
      <c r="K22" s="77">
        <v>0</v>
      </c>
      <c r="L22" s="77">
        <v>55430.537819999998</v>
      </c>
      <c r="M22" s="77">
        <v>44125.918649999992</v>
      </c>
      <c r="N22" s="77">
        <v>30194.70435</v>
      </c>
      <c r="O22" s="77">
        <v>0</v>
      </c>
      <c r="P22" s="77">
        <v>30194.70435</v>
      </c>
      <c r="Q22" s="77">
        <v>0</v>
      </c>
      <c r="R22" s="77">
        <v>30194.70435</v>
      </c>
      <c r="S22" s="77">
        <v>0</v>
      </c>
      <c r="T22" s="77">
        <v>100649.01449999999</v>
      </c>
      <c r="U22" s="77">
        <v>0</v>
      </c>
      <c r="V22" s="77">
        <v>0</v>
      </c>
      <c r="W22" s="77">
        <v>210123.21272999997</v>
      </c>
      <c r="X22" s="77">
        <v>0</v>
      </c>
      <c r="Y22" s="77">
        <v>59149.690979999992</v>
      </c>
      <c r="Z22" s="77">
        <v>20129.802899999999</v>
      </c>
    </row>
    <row r="23" spans="1:26" s="79" customFormat="1">
      <c r="A23" s="263" t="s">
        <v>458</v>
      </c>
      <c r="B23" s="77">
        <v>293471.96130000002</v>
      </c>
      <c r="C23" s="77">
        <v>19564.797420000003</v>
      </c>
      <c r="D23" s="77">
        <v>0</v>
      </c>
      <c r="E23" s="77">
        <v>0</v>
      </c>
      <c r="F23" s="77">
        <v>75109.394910000003</v>
      </c>
      <c r="G23" s="77">
        <v>0</v>
      </c>
      <c r="H23" s="77">
        <v>19564.797420000003</v>
      </c>
      <c r="I23" s="77">
        <v>0</v>
      </c>
      <c r="J23" s="77">
        <v>62066.196630000006</v>
      </c>
      <c r="K23" s="77">
        <v>0</v>
      </c>
      <c r="L23" s="77">
        <v>62066.196630000006</v>
      </c>
      <c r="M23" s="77">
        <v>0</v>
      </c>
      <c r="N23" s="77">
        <v>0</v>
      </c>
      <c r="O23" s="77">
        <v>0</v>
      </c>
      <c r="P23" s="77">
        <v>62066.196630000006</v>
      </c>
      <c r="Q23" s="77">
        <v>0</v>
      </c>
      <c r="R23" s="77">
        <v>62066.196630000006</v>
      </c>
      <c r="S23" s="77">
        <v>26086.396560000001</v>
      </c>
      <c r="T23" s="77">
        <v>0</v>
      </c>
      <c r="U23" s="77">
        <v>0</v>
      </c>
      <c r="V23" s="77">
        <v>6521.5991400000003</v>
      </c>
      <c r="W23" s="77">
        <v>0</v>
      </c>
      <c r="X23" s="77">
        <v>19564.797420000003</v>
      </c>
      <c r="Y23" s="77">
        <v>0</v>
      </c>
      <c r="Z23" s="77">
        <v>0</v>
      </c>
    </row>
    <row r="24" spans="1:26" s="79" customFormat="1">
      <c r="A24" s="263" t="s">
        <v>469</v>
      </c>
      <c r="B24" s="77">
        <v>216803.45250000001</v>
      </c>
      <c r="C24" s="77">
        <v>19271.418000000001</v>
      </c>
      <c r="D24" s="77">
        <v>19271.418000000001</v>
      </c>
      <c r="E24" s="77">
        <v>0</v>
      </c>
      <c r="F24" s="77">
        <v>52996.399500000007</v>
      </c>
      <c r="G24" s="77">
        <v>0</v>
      </c>
      <c r="H24" s="77">
        <v>28907.127</v>
      </c>
      <c r="I24" s="77">
        <v>19271.418000000001</v>
      </c>
      <c r="J24" s="77">
        <v>38542.836000000003</v>
      </c>
      <c r="K24" s="77">
        <v>19271.418000000001</v>
      </c>
      <c r="L24" s="77">
        <v>19271.418000000001</v>
      </c>
      <c r="M24" s="77">
        <v>48178.545000000006</v>
      </c>
      <c r="N24" s="77">
        <v>14453.5635</v>
      </c>
      <c r="O24" s="77">
        <v>0</v>
      </c>
      <c r="P24" s="77">
        <v>19271.418000000001</v>
      </c>
      <c r="Q24" s="77">
        <v>72267.817500000005</v>
      </c>
      <c r="R24" s="77">
        <v>19271.418000000001</v>
      </c>
      <c r="S24" s="77">
        <v>48178.545000000006</v>
      </c>
      <c r="T24" s="77">
        <v>0</v>
      </c>
      <c r="U24" s="77">
        <v>48178.545000000006</v>
      </c>
      <c r="V24" s="77">
        <v>24089.272500000003</v>
      </c>
      <c r="W24" s="77">
        <v>28907.127</v>
      </c>
      <c r="X24" s="77">
        <v>19271.418000000001</v>
      </c>
      <c r="Y24" s="77">
        <v>9635.7090000000007</v>
      </c>
      <c r="Z24" s="77">
        <v>24089.272500000003</v>
      </c>
    </row>
    <row r="25" spans="1:26" s="79" customFormat="1">
      <c r="A25" s="263" t="s">
        <v>455</v>
      </c>
      <c r="B25" s="77">
        <v>302035.93686000002</v>
      </c>
      <c r="C25" s="77">
        <v>0</v>
      </c>
      <c r="D25" s="77">
        <v>0</v>
      </c>
      <c r="E25" s="77">
        <v>0</v>
      </c>
      <c r="F25" s="77">
        <v>43797.704760000008</v>
      </c>
      <c r="G25" s="77">
        <v>0</v>
      </c>
      <c r="H25" s="77">
        <v>82601.692980000007</v>
      </c>
      <c r="I25" s="77">
        <v>28008.659520000001</v>
      </c>
      <c r="J25" s="77">
        <v>60704.586240000004</v>
      </c>
      <c r="K25" s="77">
        <v>0</v>
      </c>
      <c r="L25" s="77">
        <v>51079.328700000005</v>
      </c>
      <c r="M25" s="77">
        <v>29199.633600000001</v>
      </c>
      <c r="N25" s="77">
        <v>38535.853439999999</v>
      </c>
      <c r="O25" s="77">
        <v>0</v>
      </c>
      <c r="P25" s="77">
        <v>65390.107800000013</v>
      </c>
      <c r="Q25" s="77">
        <v>116798.5344</v>
      </c>
      <c r="R25" s="77">
        <v>65390.107800000013</v>
      </c>
      <c r="S25" s="77">
        <v>57071.607270000008</v>
      </c>
      <c r="T25" s="77">
        <v>87598.900800000003</v>
      </c>
      <c r="U25" s="77">
        <v>43203.963360000002</v>
      </c>
      <c r="V25" s="77">
        <v>77513.096430000005</v>
      </c>
      <c r="W25" s="77">
        <v>68618.266140000007</v>
      </c>
      <c r="X25" s="77">
        <v>29332.828170000001</v>
      </c>
      <c r="Y25" s="77">
        <v>39418.632540000006</v>
      </c>
      <c r="Z25" s="77">
        <v>87598.900800000003</v>
      </c>
    </row>
    <row r="26" spans="1:26" s="79" customFormat="1">
      <c r="A26" s="263" t="s">
        <v>446</v>
      </c>
      <c r="B26" s="77">
        <v>22827.734280000001</v>
      </c>
      <c r="C26" s="77">
        <v>5267.9386800000002</v>
      </c>
      <c r="D26" s="77">
        <v>0</v>
      </c>
      <c r="E26" s="77">
        <v>0</v>
      </c>
      <c r="F26" s="77">
        <v>5267.9386800000002</v>
      </c>
      <c r="G26" s="77">
        <v>0</v>
      </c>
      <c r="H26" s="77">
        <v>10535.87736</v>
      </c>
      <c r="I26" s="77">
        <v>0</v>
      </c>
      <c r="J26" s="77">
        <v>5267.9386800000002</v>
      </c>
      <c r="K26" s="77">
        <v>5267.9386800000002</v>
      </c>
      <c r="L26" s="77">
        <v>3511.95912</v>
      </c>
      <c r="M26" s="77">
        <v>8779.8978000000006</v>
      </c>
      <c r="N26" s="77">
        <v>5267.9386800000002</v>
      </c>
      <c r="O26" s="77">
        <v>0</v>
      </c>
      <c r="P26" s="77">
        <v>5267.9386800000002</v>
      </c>
      <c r="Q26" s="77">
        <v>0</v>
      </c>
      <c r="R26" s="77">
        <v>5267.9386800000002</v>
      </c>
      <c r="S26" s="77">
        <v>0</v>
      </c>
      <c r="T26" s="77">
        <v>0</v>
      </c>
      <c r="U26" s="77">
        <v>0</v>
      </c>
      <c r="V26" s="77">
        <v>5267.9386800000002</v>
      </c>
      <c r="W26" s="77">
        <v>0</v>
      </c>
      <c r="X26" s="77">
        <v>0</v>
      </c>
      <c r="Y26" s="77">
        <v>0</v>
      </c>
      <c r="Z26" s="77">
        <v>5267.9386800000002</v>
      </c>
    </row>
    <row r="27" spans="1:26" s="79" customFormat="1">
      <c r="A27" s="263" t="s">
        <v>443</v>
      </c>
      <c r="B27" s="77">
        <v>422313.28560000006</v>
      </c>
      <c r="C27" s="77">
        <v>26394.580350000004</v>
      </c>
      <c r="D27" s="77">
        <v>26394.580350000004</v>
      </c>
      <c r="E27" s="77">
        <v>0</v>
      </c>
      <c r="F27" s="77">
        <v>26394.580350000004</v>
      </c>
      <c r="G27" s="77">
        <v>0</v>
      </c>
      <c r="H27" s="77">
        <v>43990.967250000002</v>
      </c>
      <c r="I27" s="77">
        <v>0</v>
      </c>
      <c r="J27" s="77">
        <v>17596.386900000001</v>
      </c>
      <c r="K27" s="77">
        <v>26394.580350000004</v>
      </c>
      <c r="L27" s="77">
        <v>26394.580350000004</v>
      </c>
      <c r="M27" s="77">
        <v>0</v>
      </c>
      <c r="N27" s="77">
        <v>0</v>
      </c>
      <c r="O27" s="77">
        <v>0</v>
      </c>
      <c r="P27" s="77">
        <v>26394.580350000004</v>
      </c>
      <c r="Q27" s="77">
        <v>0</v>
      </c>
      <c r="R27" s="77">
        <v>26394.580350000004</v>
      </c>
      <c r="S27" s="77">
        <v>43990.967250000002</v>
      </c>
      <c r="T27" s="77">
        <v>0</v>
      </c>
      <c r="U27" s="77">
        <v>0</v>
      </c>
      <c r="V27" s="77">
        <v>26394.580350000004</v>
      </c>
      <c r="W27" s="77">
        <v>17596.386900000001</v>
      </c>
      <c r="X27" s="77">
        <v>0</v>
      </c>
      <c r="Y27" s="77">
        <v>0</v>
      </c>
      <c r="Z27" s="77">
        <v>0</v>
      </c>
    </row>
    <row r="28" spans="1:26" s="79" customFormat="1">
      <c r="A28" s="263" t="s">
        <v>449</v>
      </c>
      <c r="B28" s="77">
        <v>11988.01485</v>
      </c>
      <c r="C28" s="77">
        <v>7192.8089099999997</v>
      </c>
      <c r="D28" s="77">
        <v>0</v>
      </c>
      <c r="E28" s="77">
        <v>0</v>
      </c>
      <c r="F28" s="77">
        <v>7192.8089099999997</v>
      </c>
      <c r="G28" s="77">
        <v>0</v>
      </c>
      <c r="H28" s="77">
        <v>7192.8089099999997</v>
      </c>
      <c r="I28" s="77">
        <v>0</v>
      </c>
      <c r="J28" s="77">
        <v>7192.8089099999997</v>
      </c>
      <c r="K28" s="77">
        <v>7192.8089099999997</v>
      </c>
      <c r="L28" s="77">
        <v>7192.8089099999997</v>
      </c>
      <c r="M28" s="77">
        <v>9590.4118799999997</v>
      </c>
      <c r="N28" s="77">
        <v>0</v>
      </c>
      <c r="O28" s="77">
        <v>0</v>
      </c>
      <c r="P28" s="77">
        <v>7192.8089099999997</v>
      </c>
      <c r="Q28" s="77">
        <v>0</v>
      </c>
      <c r="R28" s="77">
        <v>7192.8089099999997</v>
      </c>
      <c r="S28" s="77">
        <v>0</v>
      </c>
      <c r="T28" s="77">
        <v>0</v>
      </c>
      <c r="U28" s="77">
        <v>0</v>
      </c>
      <c r="V28" s="77">
        <v>2397.6029699999999</v>
      </c>
      <c r="W28" s="77">
        <v>0</v>
      </c>
      <c r="X28" s="77">
        <v>4795.2059399999998</v>
      </c>
      <c r="Y28" s="77">
        <v>0</v>
      </c>
      <c r="Z28" s="77">
        <v>0</v>
      </c>
    </row>
    <row r="29" spans="1:26" s="79" customFormat="1">
      <c r="A29" s="263" t="s">
        <v>452</v>
      </c>
      <c r="B29" s="77">
        <v>72795.515520000001</v>
      </c>
      <c r="C29" s="77">
        <v>4199.7412800000002</v>
      </c>
      <c r="D29" s="77">
        <v>0</v>
      </c>
      <c r="E29" s="77">
        <v>0</v>
      </c>
      <c r="F29" s="77">
        <v>11199.310079999999</v>
      </c>
      <c r="G29" s="77">
        <v>0</v>
      </c>
      <c r="H29" s="77">
        <v>4199.7412800000002</v>
      </c>
      <c r="I29" s="77">
        <v>0</v>
      </c>
      <c r="J29" s="77">
        <v>4199.7412800000002</v>
      </c>
      <c r="K29" s="77">
        <v>4199.7412800000002</v>
      </c>
      <c r="L29" s="77">
        <v>2799.8275199999998</v>
      </c>
      <c r="M29" s="77">
        <v>0</v>
      </c>
      <c r="N29" s="77">
        <v>0</v>
      </c>
      <c r="O29" s="77">
        <v>0</v>
      </c>
      <c r="P29" s="77">
        <v>4199.7412800000002</v>
      </c>
      <c r="Q29" s="77">
        <v>0</v>
      </c>
      <c r="R29" s="77">
        <v>4199.7412800000002</v>
      </c>
      <c r="S29" s="77">
        <v>8399.4825600000004</v>
      </c>
      <c r="T29" s="77">
        <v>0</v>
      </c>
      <c r="U29" s="77">
        <v>0</v>
      </c>
      <c r="V29" s="77">
        <v>4199.7412800000002</v>
      </c>
      <c r="W29" s="77">
        <v>0</v>
      </c>
      <c r="X29" s="77">
        <v>0</v>
      </c>
      <c r="Y29" s="77">
        <v>0</v>
      </c>
      <c r="Z29" s="77">
        <v>0</v>
      </c>
    </row>
    <row r="30" spans="1:26" s="79" customFormat="1">
      <c r="A30" s="263" t="s">
        <v>461</v>
      </c>
      <c r="B30" s="77">
        <v>19906.058850000001</v>
      </c>
      <c r="C30" s="77">
        <v>0</v>
      </c>
      <c r="D30" s="77">
        <v>0</v>
      </c>
      <c r="E30" s="77">
        <v>0</v>
      </c>
      <c r="F30" s="77">
        <v>15924.84708</v>
      </c>
      <c r="G30" s="77">
        <v>0</v>
      </c>
      <c r="H30" s="77">
        <v>19906.058850000001</v>
      </c>
      <c r="I30" s="77">
        <v>0</v>
      </c>
      <c r="J30" s="77">
        <v>11943.63531</v>
      </c>
      <c r="K30" s="77">
        <v>11943.63531</v>
      </c>
      <c r="L30" s="77">
        <v>11943.63531</v>
      </c>
      <c r="M30" s="77">
        <v>0</v>
      </c>
      <c r="N30" s="77">
        <v>11943.63531</v>
      </c>
      <c r="O30" s="77">
        <v>0</v>
      </c>
      <c r="P30" s="77">
        <v>11943.63531</v>
      </c>
      <c r="Q30" s="77">
        <v>0</v>
      </c>
      <c r="R30" s="77">
        <v>11943.63531</v>
      </c>
      <c r="S30" s="77">
        <v>11943.63531</v>
      </c>
      <c r="T30" s="77">
        <v>0</v>
      </c>
      <c r="U30" s="77">
        <v>0</v>
      </c>
      <c r="V30" s="77">
        <v>11943.63531</v>
      </c>
      <c r="W30" s="77">
        <v>0</v>
      </c>
      <c r="X30" s="77">
        <v>11943.63531</v>
      </c>
      <c r="Y30" s="77">
        <v>0</v>
      </c>
      <c r="Z30" s="77">
        <v>0</v>
      </c>
    </row>
    <row r="31" spans="1:26" s="79" customFormat="1">
      <c r="A31" s="263" t="s">
        <v>466</v>
      </c>
      <c r="B31" s="77">
        <v>178645.4406</v>
      </c>
      <c r="C31" s="77">
        <v>19849.493399999999</v>
      </c>
      <c r="D31" s="77">
        <v>0</v>
      </c>
      <c r="E31" s="77">
        <v>0</v>
      </c>
      <c r="F31" s="77">
        <v>19849.493399999999</v>
      </c>
      <c r="G31" s="77">
        <v>0</v>
      </c>
      <c r="H31" s="77">
        <v>19849.493399999999</v>
      </c>
      <c r="I31" s="77">
        <v>0</v>
      </c>
      <c r="J31" s="77">
        <v>19849.493399999999</v>
      </c>
      <c r="K31" s="77">
        <v>19849.493399999999</v>
      </c>
      <c r="L31" s="77">
        <v>19849.493399999999</v>
      </c>
      <c r="M31" s="77">
        <v>0</v>
      </c>
      <c r="N31" s="77">
        <v>0</v>
      </c>
      <c r="O31" s="77">
        <v>0</v>
      </c>
      <c r="P31" s="77">
        <v>19849.493399999999</v>
      </c>
      <c r="Q31" s="77">
        <v>19849.493399999999</v>
      </c>
      <c r="R31" s="77">
        <v>19849.493399999999</v>
      </c>
      <c r="S31" s="77">
        <v>0</v>
      </c>
      <c r="T31" s="77">
        <v>0</v>
      </c>
      <c r="U31" s="77">
        <v>0</v>
      </c>
      <c r="V31" s="77">
        <v>7939.7973599999996</v>
      </c>
      <c r="W31" s="77">
        <v>7939.7973599999996</v>
      </c>
      <c r="X31" s="77">
        <v>0</v>
      </c>
      <c r="Y31" s="77">
        <v>0</v>
      </c>
      <c r="Z31" s="77">
        <v>0</v>
      </c>
    </row>
    <row r="32" spans="1:26" s="79" customFormat="1">
      <c r="A32" s="263" t="s">
        <v>482</v>
      </c>
      <c r="B32" s="77">
        <v>258751.87547999999</v>
      </c>
      <c r="C32" s="77">
        <v>0</v>
      </c>
      <c r="D32" s="77">
        <v>29723.728439999999</v>
      </c>
      <c r="E32" s="77">
        <v>0</v>
      </c>
      <c r="F32" s="77">
        <v>68193.426599999992</v>
      </c>
      <c r="G32" s="77">
        <v>0</v>
      </c>
      <c r="H32" s="77">
        <v>31466.638079999997</v>
      </c>
      <c r="I32" s="77">
        <v>0</v>
      </c>
      <c r="J32" s="77">
        <v>24479.288759999999</v>
      </c>
      <c r="K32" s="77">
        <v>29723.728439999999</v>
      </c>
      <c r="L32" s="77">
        <v>31474.493459999998</v>
      </c>
      <c r="M32" s="77">
        <v>24479.288759999999</v>
      </c>
      <c r="N32" s="77">
        <v>36718.933139999994</v>
      </c>
      <c r="O32" s="77">
        <v>29723.728439999999</v>
      </c>
      <c r="P32" s="77">
        <v>29723.728439999999</v>
      </c>
      <c r="Q32" s="77">
        <v>174880.11749999999</v>
      </c>
      <c r="R32" s="77">
        <v>29723.728439999999</v>
      </c>
      <c r="S32" s="77">
        <v>31466.638079999997</v>
      </c>
      <c r="T32" s="77">
        <v>96174.2454</v>
      </c>
      <c r="U32" s="77">
        <v>66442.66158</v>
      </c>
      <c r="V32" s="77">
        <v>52452.252179999996</v>
      </c>
      <c r="W32" s="77">
        <v>15733.319039999998</v>
      </c>
      <c r="X32" s="77">
        <v>36718.933139999994</v>
      </c>
      <c r="Y32" s="77">
        <v>0</v>
      </c>
      <c r="Z32" s="77">
        <v>10488.879359999999</v>
      </c>
    </row>
    <row r="33" spans="1:26" s="79" customFormat="1">
      <c r="A33" s="263" t="s">
        <v>472</v>
      </c>
      <c r="B33" s="77">
        <v>1638235.5825</v>
      </c>
      <c r="C33" s="77">
        <v>148641.31314000001</v>
      </c>
      <c r="D33" s="77">
        <v>0</v>
      </c>
      <c r="E33" s="77">
        <v>0</v>
      </c>
      <c r="F33" s="77">
        <v>345229.58304000006</v>
      </c>
      <c r="G33" s="77">
        <v>0</v>
      </c>
      <c r="H33" s="77">
        <v>100694.35638000001</v>
      </c>
      <c r="I33" s="77">
        <v>100694.35638000001</v>
      </c>
      <c r="J33" s="77">
        <v>0</v>
      </c>
      <c r="K33" s="77">
        <v>182206.09860000003</v>
      </c>
      <c r="L33" s="77">
        <v>166223.77968000004</v>
      </c>
      <c r="M33" s="77">
        <v>207770.14595999999</v>
      </c>
      <c r="N33" s="77">
        <v>0</v>
      </c>
      <c r="O33" s="77">
        <v>0</v>
      </c>
      <c r="P33" s="77">
        <v>47946.956760000001</v>
      </c>
      <c r="Q33" s="77">
        <v>0</v>
      </c>
      <c r="R33" s="77">
        <v>47946.956760000001</v>
      </c>
      <c r="S33" s="77">
        <v>147841.23933000001</v>
      </c>
      <c r="T33" s="77">
        <v>0</v>
      </c>
      <c r="U33" s="77">
        <v>98294.134950000007</v>
      </c>
      <c r="V33" s="77">
        <v>113476.38006</v>
      </c>
      <c r="W33" s="77">
        <v>0</v>
      </c>
      <c r="X33" s="77">
        <v>0</v>
      </c>
      <c r="Y33" s="77">
        <v>0</v>
      </c>
      <c r="Z33" s="77">
        <v>0</v>
      </c>
    </row>
    <row r="34" spans="1:26" s="79" customFormat="1">
      <c r="A34" s="263" t="s">
        <v>475</v>
      </c>
      <c r="B34" s="77">
        <v>2120935.22193</v>
      </c>
      <c r="C34" s="77">
        <v>58308.717720000001</v>
      </c>
      <c r="D34" s="77">
        <v>13175.531219999999</v>
      </c>
      <c r="E34" s="77">
        <v>0</v>
      </c>
      <c r="F34" s="77">
        <v>428905.49364</v>
      </c>
      <c r="G34" s="77">
        <v>0</v>
      </c>
      <c r="H34" s="77">
        <v>178710.62235000002</v>
      </c>
      <c r="I34" s="77">
        <v>58308.717720000001</v>
      </c>
      <c r="J34" s="77">
        <v>90874.04595</v>
      </c>
      <c r="K34" s="77">
        <v>90874.04595</v>
      </c>
      <c r="L34" s="77">
        <v>97461.811559999987</v>
      </c>
      <c r="M34" s="77">
        <v>437315.38290000003</v>
      </c>
      <c r="N34" s="77">
        <v>12926.53134</v>
      </c>
      <c r="O34" s="77">
        <v>0</v>
      </c>
      <c r="P34" s="77">
        <v>90874.04595</v>
      </c>
      <c r="Q34" s="77">
        <v>298863.52710000001</v>
      </c>
      <c r="R34" s="77">
        <v>90874.04595</v>
      </c>
      <c r="S34" s="77">
        <v>210902.45076000001</v>
      </c>
      <c r="T34" s="77">
        <v>52702.124879999996</v>
      </c>
      <c r="U34" s="77">
        <v>145771.79430000001</v>
      </c>
      <c r="V34" s="77">
        <v>45865.359389999998</v>
      </c>
      <c r="W34" s="77">
        <v>0</v>
      </c>
      <c r="X34" s="77">
        <v>32689.828170000001</v>
      </c>
      <c r="Y34" s="77">
        <v>0</v>
      </c>
      <c r="Z34" s="77">
        <v>0</v>
      </c>
    </row>
    <row r="35" spans="1:26" s="79" customFormat="1">
      <c r="A35" s="263" t="s">
        <v>535</v>
      </c>
      <c r="B35" s="77">
        <v>1037155.8364499999</v>
      </c>
      <c r="C35" s="77">
        <v>94393.300950000004</v>
      </c>
      <c r="D35" s="77">
        <v>65319.879359999999</v>
      </c>
      <c r="E35" s="77">
        <v>0</v>
      </c>
      <c r="F35" s="77">
        <v>791353.12968000001</v>
      </c>
      <c r="G35" s="77">
        <v>0</v>
      </c>
      <c r="H35" s="77">
        <v>83015.085149999999</v>
      </c>
      <c r="I35" s="77">
        <v>16819.800900000002</v>
      </c>
      <c r="J35" s="77">
        <v>155788.22066999998</v>
      </c>
      <c r="K35" s="77">
        <v>33478.577700000002</v>
      </c>
      <c r="L35" s="77">
        <v>69191.048669999989</v>
      </c>
      <c r="M35" s="77">
        <v>4258.6902</v>
      </c>
      <c r="N35" s="77">
        <v>61007.824050000003</v>
      </c>
      <c r="O35" s="77">
        <v>23801.062859999998</v>
      </c>
      <c r="P35" s="77">
        <v>82099.060559999998</v>
      </c>
      <c r="Q35" s="77">
        <v>7796.1289500000003</v>
      </c>
      <c r="R35" s="77">
        <v>57556.52592</v>
      </c>
      <c r="S35" s="77">
        <v>50813.566200000001</v>
      </c>
      <c r="T35" s="77">
        <v>49297.209300000002</v>
      </c>
      <c r="U35" s="77">
        <v>152733.65279999998</v>
      </c>
      <c r="V35" s="77">
        <v>45244.638900000005</v>
      </c>
      <c r="W35" s="77">
        <v>0</v>
      </c>
      <c r="X35" s="77">
        <v>62073.168000000005</v>
      </c>
      <c r="Y35" s="77">
        <v>216492.93</v>
      </c>
      <c r="Z35" s="77">
        <v>14857.533690000002</v>
      </c>
    </row>
    <row r="36" spans="1:26" s="79" customFormat="1">
      <c r="A36" s="263" t="s">
        <v>616</v>
      </c>
      <c r="B36" s="77">
        <v>0</v>
      </c>
      <c r="C36" s="77">
        <v>0</v>
      </c>
      <c r="D36" s="77">
        <v>0</v>
      </c>
      <c r="E36" s="77">
        <v>0</v>
      </c>
      <c r="F36" s="77">
        <v>0</v>
      </c>
      <c r="G36" s="77">
        <v>0</v>
      </c>
      <c r="H36" s="77">
        <v>0</v>
      </c>
      <c r="I36" s="77">
        <v>0</v>
      </c>
      <c r="J36" s="77">
        <v>0</v>
      </c>
      <c r="K36" s="77">
        <v>0</v>
      </c>
      <c r="L36" s="77">
        <v>0</v>
      </c>
      <c r="M36" s="77">
        <v>0</v>
      </c>
      <c r="N36" s="77">
        <v>0</v>
      </c>
      <c r="O36" s="77">
        <v>0</v>
      </c>
      <c r="P36" s="77">
        <v>0</v>
      </c>
      <c r="Q36" s="77">
        <v>0</v>
      </c>
      <c r="R36" s="77">
        <v>0</v>
      </c>
      <c r="S36" s="77">
        <v>0</v>
      </c>
      <c r="T36" s="77">
        <v>0</v>
      </c>
      <c r="U36" s="77">
        <v>0</v>
      </c>
      <c r="V36" s="77">
        <v>0</v>
      </c>
      <c r="W36" s="77">
        <v>0</v>
      </c>
      <c r="X36" s="77">
        <v>0</v>
      </c>
      <c r="Y36" s="77">
        <v>0</v>
      </c>
      <c r="Z36" s="77">
        <v>0</v>
      </c>
    </row>
    <row r="37" spans="1:26" s="79" customFormat="1">
      <c r="A37" s="263" t="s">
        <v>602</v>
      </c>
      <c r="B37" s="77">
        <v>0</v>
      </c>
      <c r="C37" s="77">
        <v>0</v>
      </c>
      <c r="D37" s="77">
        <v>0</v>
      </c>
      <c r="E37" s="77">
        <v>0</v>
      </c>
      <c r="F37" s="77">
        <v>2081.98902</v>
      </c>
      <c r="G37" s="77">
        <v>0</v>
      </c>
      <c r="H37" s="77">
        <v>0</v>
      </c>
      <c r="I37" s="77">
        <v>0</v>
      </c>
      <c r="J37" s="77">
        <v>0</v>
      </c>
      <c r="K37" s="77">
        <v>0</v>
      </c>
      <c r="L37" s="77">
        <v>0</v>
      </c>
      <c r="M37" s="77">
        <v>8327.9560799999999</v>
      </c>
      <c r="N37" s="77">
        <v>0</v>
      </c>
      <c r="O37" s="77">
        <v>0</v>
      </c>
      <c r="P37" s="77">
        <v>0</v>
      </c>
      <c r="Q37" s="77">
        <v>0</v>
      </c>
      <c r="R37" s="77">
        <v>0</v>
      </c>
      <c r="S37" s="77">
        <v>4163.97804</v>
      </c>
      <c r="T37" s="77">
        <v>0</v>
      </c>
      <c r="U37" s="77">
        <v>0</v>
      </c>
      <c r="V37" s="77">
        <v>0</v>
      </c>
      <c r="W37" s="77">
        <v>4163.97804</v>
      </c>
      <c r="X37" s="77">
        <v>0</v>
      </c>
      <c r="Y37" s="77">
        <v>6245.9670599999999</v>
      </c>
      <c r="Z37" s="77">
        <v>0</v>
      </c>
    </row>
    <row r="38" spans="1:26" s="79" customFormat="1">
      <c r="A38" s="263" t="s">
        <v>574</v>
      </c>
      <c r="B38" s="77">
        <v>74069.92224</v>
      </c>
      <c r="C38" s="77">
        <v>0</v>
      </c>
      <c r="D38" s="77">
        <v>0</v>
      </c>
      <c r="E38" s="77">
        <v>0</v>
      </c>
      <c r="F38" s="77">
        <v>24689.97408</v>
      </c>
      <c r="G38" s="77">
        <v>0</v>
      </c>
      <c r="H38" s="77">
        <v>74069.92224</v>
      </c>
      <c r="I38" s="77">
        <v>24689.97408</v>
      </c>
      <c r="J38" s="77">
        <v>0</v>
      </c>
      <c r="K38" s="77">
        <v>0</v>
      </c>
      <c r="L38" s="77">
        <v>0</v>
      </c>
      <c r="M38" s="77">
        <v>0</v>
      </c>
      <c r="N38" s="77">
        <v>0</v>
      </c>
      <c r="O38" s="77">
        <v>0</v>
      </c>
      <c r="P38" s="77">
        <v>0</v>
      </c>
      <c r="Q38" s="77">
        <v>49379.94816</v>
      </c>
      <c r="R38" s="77">
        <v>98759.89632</v>
      </c>
      <c r="S38" s="77">
        <v>74069.92224</v>
      </c>
      <c r="T38" s="77">
        <v>0</v>
      </c>
      <c r="U38" s="77">
        <v>0</v>
      </c>
      <c r="V38" s="77">
        <v>24689.97408</v>
      </c>
      <c r="W38" s="77">
        <v>24689.97408</v>
      </c>
      <c r="X38" s="77">
        <v>0</v>
      </c>
      <c r="Y38" s="77">
        <v>24689.97408</v>
      </c>
      <c r="Z38" s="77">
        <v>0</v>
      </c>
    </row>
    <row r="39" spans="1:26" s="79" customFormat="1">
      <c r="A39" s="263" t="s">
        <v>608</v>
      </c>
      <c r="B39" s="77">
        <v>0</v>
      </c>
      <c r="C39" s="77">
        <v>0</v>
      </c>
      <c r="D39" s="77">
        <v>0</v>
      </c>
      <c r="E39" s="77">
        <v>0</v>
      </c>
      <c r="F39" s="77">
        <v>0</v>
      </c>
      <c r="G39" s="77">
        <v>0</v>
      </c>
      <c r="H39" s="77">
        <v>0</v>
      </c>
      <c r="I39" s="77">
        <v>0</v>
      </c>
      <c r="J39" s="77">
        <v>0</v>
      </c>
      <c r="K39" s="77">
        <v>0</v>
      </c>
      <c r="L39" s="77">
        <v>0</v>
      </c>
      <c r="M39" s="77">
        <v>0</v>
      </c>
      <c r="N39" s="77">
        <v>0</v>
      </c>
      <c r="O39" s="77">
        <v>0</v>
      </c>
      <c r="P39" s="77">
        <v>0</v>
      </c>
      <c r="Q39" s="77">
        <v>0</v>
      </c>
      <c r="R39" s="77">
        <v>3125.7698399999999</v>
      </c>
      <c r="S39" s="77">
        <v>0</v>
      </c>
      <c r="T39" s="77">
        <v>0</v>
      </c>
      <c r="U39" s="77">
        <v>0</v>
      </c>
      <c r="V39" s="77">
        <v>0</v>
      </c>
      <c r="W39" s="77">
        <v>0</v>
      </c>
      <c r="X39" s="77">
        <v>0</v>
      </c>
      <c r="Y39" s="77">
        <v>0</v>
      </c>
      <c r="Z39" s="77">
        <v>0</v>
      </c>
    </row>
    <row r="40" spans="1:26" s="79" customFormat="1">
      <c r="A40" s="263" t="s">
        <v>611</v>
      </c>
      <c r="B40" s="77">
        <v>0</v>
      </c>
      <c r="C40" s="77">
        <v>0</v>
      </c>
      <c r="D40" s="77">
        <v>0</v>
      </c>
      <c r="E40" s="77">
        <v>0</v>
      </c>
      <c r="F40" s="77">
        <v>0</v>
      </c>
      <c r="G40" s="77">
        <v>0</v>
      </c>
      <c r="H40" s="77">
        <v>28348.186500000003</v>
      </c>
      <c r="I40" s="77">
        <v>0</v>
      </c>
      <c r="J40" s="77">
        <v>0</v>
      </c>
      <c r="K40" s="77">
        <v>0</v>
      </c>
      <c r="L40" s="77">
        <v>0</v>
      </c>
      <c r="M40" s="77">
        <v>0</v>
      </c>
      <c r="N40" s="77">
        <v>0</v>
      </c>
      <c r="O40" s="77">
        <v>0</v>
      </c>
      <c r="P40" s="77">
        <v>0</v>
      </c>
      <c r="Q40" s="77">
        <v>0</v>
      </c>
      <c r="R40" s="77">
        <v>0</v>
      </c>
      <c r="S40" s="77">
        <v>0</v>
      </c>
      <c r="T40" s="77">
        <v>0</v>
      </c>
      <c r="U40" s="77">
        <v>0</v>
      </c>
      <c r="V40" s="77">
        <v>0</v>
      </c>
      <c r="W40" s="77">
        <v>0</v>
      </c>
      <c r="X40" s="77">
        <v>0</v>
      </c>
      <c r="Y40" s="77">
        <v>0</v>
      </c>
      <c r="Z40" s="77">
        <v>0</v>
      </c>
    </row>
    <row r="41" spans="1:26" s="79" customFormat="1">
      <c r="A41" s="263" t="s">
        <v>510</v>
      </c>
      <c r="B41" s="77">
        <v>37957.822800000002</v>
      </c>
      <c r="C41" s="77">
        <v>0</v>
      </c>
      <c r="D41" s="77">
        <v>0</v>
      </c>
      <c r="E41" s="77">
        <v>0</v>
      </c>
      <c r="F41" s="77">
        <v>11640.397499999999</v>
      </c>
      <c r="G41" s="77">
        <v>0</v>
      </c>
      <c r="H41" s="77">
        <v>18978.911400000001</v>
      </c>
      <c r="I41" s="77">
        <v>0</v>
      </c>
      <c r="J41" s="77">
        <v>0</v>
      </c>
      <c r="K41" s="77">
        <v>15183.12912</v>
      </c>
      <c r="L41" s="77">
        <v>0</v>
      </c>
      <c r="M41" s="77">
        <v>3795.7822799999999</v>
      </c>
      <c r="N41" s="77">
        <v>0</v>
      </c>
      <c r="O41" s="77">
        <v>0</v>
      </c>
      <c r="P41" s="77">
        <v>7591.5645599999998</v>
      </c>
      <c r="Q41" s="77">
        <v>13538.288640000001</v>
      </c>
      <c r="R41" s="77">
        <v>7591.5645599999998</v>
      </c>
      <c r="S41" s="77">
        <v>0</v>
      </c>
      <c r="T41" s="77">
        <v>0</v>
      </c>
      <c r="U41" s="77">
        <v>0</v>
      </c>
      <c r="V41" s="77">
        <v>0</v>
      </c>
      <c r="W41" s="77">
        <v>9489.4557000000004</v>
      </c>
      <c r="X41" s="77">
        <v>3795.7822799999999</v>
      </c>
      <c r="Y41" s="77">
        <v>9489.4557000000004</v>
      </c>
      <c r="Z41" s="77">
        <v>1897.89114</v>
      </c>
    </row>
    <row r="42" spans="1:26" s="79" customFormat="1">
      <c r="A42" s="263" t="s">
        <v>519</v>
      </c>
      <c r="B42" s="77">
        <v>0</v>
      </c>
      <c r="C42" s="77">
        <v>0</v>
      </c>
      <c r="D42" s="77">
        <v>0</v>
      </c>
      <c r="E42" s="77">
        <v>0</v>
      </c>
      <c r="F42" s="77">
        <v>19018.367340000001</v>
      </c>
      <c r="G42" s="77">
        <v>0</v>
      </c>
      <c r="H42" s="77">
        <v>0</v>
      </c>
      <c r="I42" s="77">
        <v>0</v>
      </c>
      <c r="J42" s="77">
        <v>0</v>
      </c>
      <c r="K42" s="77">
        <v>0</v>
      </c>
      <c r="L42" s="77">
        <v>0</v>
      </c>
      <c r="M42" s="77">
        <v>10928.13162</v>
      </c>
      <c r="N42" s="77">
        <v>0</v>
      </c>
      <c r="O42" s="77">
        <v>0</v>
      </c>
      <c r="P42" s="77">
        <v>0</v>
      </c>
      <c r="Q42" s="77">
        <v>13483.726200000001</v>
      </c>
      <c r="R42" s="77">
        <v>0</v>
      </c>
      <c r="S42" s="77">
        <v>5534.6411399999997</v>
      </c>
      <c r="T42" s="77">
        <v>0</v>
      </c>
      <c r="U42" s="77">
        <v>0</v>
      </c>
      <c r="V42" s="77">
        <v>0</v>
      </c>
      <c r="W42" s="77">
        <v>0</v>
      </c>
      <c r="X42" s="77">
        <v>0</v>
      </c>
      <c r="Y42" s="77">
        <v>0</v>
      </c>
      <c r="Z42" s="77">
        <v>0</v>
      </c>
    </row>
    <row r="43" spans="1:26" s="79" customFormat="1">
      <c r="A43" s="263" t="s">
        <v>503</v>
      </c>
      <c r="B43" s="77">
        <v>35325.263400000003</v>
      </c>
      <c r="C43" s="77">
        <v>7408.6080600000014</v>
      </c>
      <c r="D43" s="77">
        <v>6643.4358600000014</v>
      </c>
      <c r="E43" s="77">
        <v>0</v>
      </c>
      <c r="F43" s="77">
        <v>6203.2436400000015</v>
      </c>
      <c r="G43" s="77">
        <v>0</v>
      </c>
      <c r="H43" s="77">
        <v>8924.1592799999999</v>
      </c>
      <c r="I43" s="77">
        <v>0</v>
      </c>
      <c r="J43" s="77">
        <v>9429.3430200000003</v>
      </c>
      <c r="K43" s="77">
        <v>0</v>
      </c>
      <c r="L43" s="77">
        <v>3379.2904800000001</v>
      </c>
      <c r="M43" s="77">
        <v>6026.8221000000003</v>
      </c>
      <c r="N43" s="77">
        <v>4526.1647700000003</v>
      </c>
      <c r="O43" s="77">
        <v>0</v>
      </c>
      <c r="P43" s="77">
        <v>5161.34274</v>
      </c>
      <c r="Q43" s="77">
        <v>4821.4576800000004</v>
      </c>
      <c r="R43" s="77">
        <v>5161.34274</v>
      </c>
      <c r="S43" s="77">
        <v>2604.8082000000004</v>
      </c>
      <c r="T43" s="77">
        <v>0</v>
      </c>
      <c r="U43" s="77">
        <v>0</v>
      </c>
      <c r="V43" s="77">
        <v>2621.5372500000003</v>
      </c>
      <c r="W43" s="77">
        <v>7356.630509999999</v>
      </c>
      <c r="X43" s="77">
        <v>9123.8784000000014</v>
      </c>
      <c r="Y43" s="77">
        <v>0</v>
      </c>
      <c r="Z43" s="77">
        <v>1645.5454500000001</v>
      </c>
    </row>
    <row r="44" spans="1:26" s="79" customFormat="1">
      <c r="A44" s="263" t="s">
        <v>516</v>
      </c>
      <c r="B44" s="77">
        <v>0</v>
      </c>
      <c r="C44" s="77">
        <v>0</v>
      </c>
      <c r="D44" s="77">
        <v>0</v>
      </c>
      <c r="E44" s="77">
        <v>0</v>
      </c>
      <c r="F44" s="77">
        <v>11620.635960000001</v>
      </c>
      <c r="G44" s="77">
        <v>0</v>
      </c>
      <c r="H44" s="77">
        <v>29051.589900000003</v>
      </c>
      <c r="I44" s="77">
        <v>0</v>
      </c>
      <c r="J44" s="77">
        <v>24015.978000000003</v>
      </c>
      <c r="K44" s="77">
        <v>0</v>
      </c>
      <c r="L44" s="77">
        <v>30988.355100000001</v>
      </c>
      <c r="M44" s="77">
        <v>36217.643519999998</v>
      </c>
      <c r="N44" s="77">
        <v>0</v>
      </c>
      <c r="O44" s="77">
        <v>0</v>
      </c>
      <c r="P44" s="77">
        <v>0</v>
      </c>
      <c r="Q44" s="77">
        <v>14525.794950000001</v>
      </c>
      <c r="R44" s="77">
        <v>0</v>
      </c>
      <c r="S44" s="77">
        <v>15494.17755</v>
      </c>
      <c r="T44" s="77">
        <v>0</v>
      </c>
      <c r="U44" s="77">
        <v>9296.5065299999987</v>
      </c>
      <c r="V44" s="77">
        <v>3098.8355099999999</v>
      </c>
      <c r="W44" s="77">
        <v>0</v>
      </c>
      <c r="X44" s="77">
        <v>0</v>
      </c>
      <c r="Y44" s="77">
        <v>12395.34204</v>
      </c>
      <c r="Z44" s="77">
        <v>0</v>
      </c>
    </row>
    <row r="45" spans="1:26" s="79" customFormat="1">
      <c r="A45" s="263" t="s">
        <v>605</v>
      </c>
      <c r="B45" s="77">
        <v>1099291.8783683495</v>
      </c>
      <c r="C45" s="77">
        <v>294344.15146780078</v>
      </c>
      <c r="D45" s="77">
        <v>232196.31372451899</v>
      </c>
      <c r="E45" s="77">
        <v>77780.460624362895</v>
      </c>
      <c r="F45" s="77">
        <v>239336.02205420978</v>
      </c>
      <c r="G45" s="77">
        <v>116621.12528676265</v>
      </c>
      <c r="H45" s="77">
        <v>116621.12528676265</v>
      </c>
      <c r="I45" s="77">
        <v>116621.12528676265</v>
      </c>
      <c r="J45" s="77">
        <v>119392.14974676265</v>
      </c>
      <c r="K45" s="77">
        <v>188026.06484373374</v>
      </c>
      <c r="L45" s="77">
        <v>119392.14974676265</v>
      </c>
      <c r="M45" s="77">
        <v>79275.520531894494</v>
      </c>
      <c r="N45" s="77">
        <v>70586.882953532389</v>
      </c>
      <c r="O45" s="77">
        <v>69751.986147783799</v>
      </c>
      <c r="P45" s="77">
        <v>49923.337844042966</v>
      </c>
      <c r="Q45" s="77">
        <v>69751.986147783799</v>
      </c>
      <c r="R45" s="77">
        <v>70586.882953532389</v>
      </c>
      <c r="S45" s="77">
        <v>103310.46284476269</v>
      </c>
      <c r="T45" s="77">
        <v>47152.313384042965</v>
      </c>
      <c r="U45" s="77">
        <v>70586.882953532389</v>
      </c>
      <c r="V45" s="77">
        <v>50348.659361532431</v>
      </c>
      <c r="W45" s="77">
        <v>70586.882953532389</v>
      </c>
      <c r="X45" s="77">
        <v>70586.882953532389</v>
      </c>
      <c r="Y45" s="77">
        <v>50348.659361532431</v>
      </c>
      <c r="Z45" s="77">
        <v>93186.555717273222</v>
      </c>
    </row>
    <row r="46" spans="1:26" s="79" customFormat="1">
      <c r="A46" s="263" t="s">
        <v>624</v>
      </c>
      <c r="B46" s="77">
        <v>1853519.1395053773</v>
      </c>
      <c r="C46" s="77">
        <v>404157.66988629027</v>
      </c>
      <c r="D46" s="77">
        <v>221781.61602687722</v>
      </c>
      <c r="E46" s="77">
        <v>125608.00441772658</v>
      </c>
      <c r="F46" s="77">
        <v>209733.21645055828</v>
      </c>
      <c r="G46" s="77">
        <v>186437.07085616168</v>
      </c>
      <c r="H46" s="77">
        <v>186437.07085616168</v>
      </c>
      <c r="I46" s="77">
        <v>288137.77477059129</v>
      </c>
      <c r="J46" s="77">
        <v>186437.07085616168</v>
      </c>
      <c r="K46" s="77">
        <v>288137.77477059129</v>
      </c>
      <c r="L46" s="77">
        <v>174894.77487011923</v>
      </c>
      <c r="M46" s="77">
        <v>218020.37254432339</v>
      </c>
      <c r="N46" s="77">
        <v>116319.66862989381</v>
      </c>
      <c r="O46" s="77">
        <v>116319.66862989381</v>
      </c>
      <c r="P46" s="77">
        <v>116319.66862989381</v>
      </c>
      <c r="Q46" s="77">
        <v>152369.10234463555</v>
      </c>
      <c r="R46" s="77">
        <v>152369.10234463555</v>
      </c>
      <c r="S46" s="77">
        <v>278924.60000906669</v>
      </c>
      <c r="T46" s="77">
        <v>174233.12568099625</v>
      </c>
      <c r="U46" s="77">
        <v>122986.94499835877</v>
      </c>
      <c r="V46" s="77">
        <v>114624.62787828536</v>
      </c>
      <c r="W46" s="77">
        <v>114624.62787828536</v>
      </c>
      <c r="X46" s="77">
        <v>116319.66862989381</v>
      </c>
      <c r="Y46" s="77">
        <v>116319.66862989381</v>
      </c>
      <c r="Z46" s="77">
        <v>108581.8554813084</v>
      </c>
    </row>
    <row r="47" spans="1:26" s="79" customFormat="1">
      <c r="A47" s="263" t="s">
        <v>1076</v>
      </c>
      <c r="B47" s="77">
        <v>0</v>
      </c>
      <c r="C47" s="77">
        <v>0</v>
      </c>
      <c r="D47" s="77">
        <v>0</v>
      </c>
      <c r="E47" s="77">
        <v>0</v>
      </c>
      <c r="F47" s="77">
        <v>0</v>
      </c>
      <c r="G47" s="77">
        <v>0</v>
      </c>
      <c r="H47" s="77">
        <v>0</v>
      </c>
      <c r="I47" s="77">
        <v>0</v>
      </c>
      <c r="J47" s="77">
        <v>0</v>
      </c>
      <c r="K47" s="77">
        <v>0</v>
      </c>
      <c r="L47" s="77">
        <v>0</v>
      </c>
      <c r="M47" s="77">
        <v>0</v>
      </c>
      <c r="N47" s="77">
        <v>0</v>
      </c>
      <c r="O47" s="77">
        <v>0</v>
      </c>
      <c r="P47" s="77">
        <v>0</v>
      </c>
      <c r="Q47" s="77">
        <v>0</v>
      </c>
      <c r="R47" s="77">
        <v>0</v>
      </c>
      <c r="S47" s="77">
        <v>0</v>
      </c>
      <c r="T47" s="77">
        <v>0</v>
      </c>
      <c r="U47" s="77">
        <v>0</v>
      </c>
      <c r="V47" s="77">
        <v>0</v>
      </c>
      <c r="W47" s="77">
        <v>0</v>
      </c>
      <c r="X47" s="77">
        <v>0</v>
      </c>
      <c r="Y47" s="77">
        <v>0</v>
      </c>
      <c r="Z47" s="77">
        <v>0</v>
      </c>
    </row>
    <row r="48" spans="1:26" s="79" customFormat="1">
      <c r="A48" s="265" t="s">
        <v>1076</v>
      </c>
      <c r="B48" s="77">
        <v>0</v>
      </c>
      <c r="C48" s="77">
        <v>0</v>
      </c>
      <c r="D48" s="77">
        <v>0</v>
      </c>
      <c r="E48" s="77">
        <v>0</v>
      </c>
      <c r="F48" s="77">
        <v>0</v>
      </c>
      <c r="G48" s="77">
        <v>0</v>
      </c>
      <c r="H48" s="77">
        <v>0</v>
      </c>
      <c r="I48" s="77">
        <v>0</v>
      </c>
      <c r="J48" s="77">
        <v>0</v>
      </c>
      <c r="K48" s="77">
        <v>0</v>
      </c>
      <c r="L48" s="77">
        <v>0</v>
      </c>
      <c r="M48" s="77">
        <v>0</v>
      </c>
      <c r="N48" s="77">
        <v>0</v>
      </c>
      <c r="O48" s="77">
        <v>0</v>
      </c>
      <c r="P48" s="77">
        <v>0</v>
      </c>
      <c r="Q48" s="77">
        <v>0</v>
      </c>
      <c r="R48" s="77">
        <v>0</v>
      </c>
      <c r="S48" s="77">
        <v>0</v>
      </c>
      <c r="T48" s="77">
        <v>0</v>
      </c>
      <c r="U48" s="77">
        <v>0</v>
      </c>
      <c r="V48" s="77">
        <v>0</v>
      </c>
      <c r="W48" s="77">
        <v>0</v>
      </c>
      <c r="X48" s="77">
        <v>0</v>
      </c>
      <c r="Y48" s="77">
        <v>0</v>
      </c>
      <c r="Z48" s="77">
        <v>0</v>
      </c>
    </row>
    <row r="49" spans="1:26" s="79" customFormat="1">
      <c r="A49" s="263" t="s">
        <v>699</v>
      </c>
      <c r="B49" s="77">
        <v>23047022.813643731</v>
      </c>
      <c r="C49" s="77">
        <v>2728316.3361640908</v>
      </c>
      <c r="D49" s="77">
        <v>1652903.8027913962</v>
      </c>
      <c r="E49" s="77">
        <v>203388.46504208946</v>
      </c>
      <c r="F49" s="77">
        <v>5563346.5923247682</v>
      </c>
      <c r="G49" s="77">
        <v>866234.76016292418</v>
      </c>
      <c r="H49" s="77">
        <v>2346020.9497629246</v>
      </c>
      <c r="I49" s="77">
        <v>816247.40487735404</v>
      </c>
      <c r="J49" s="77">
        <v>3068082.2312529255</v>
      </c>
      <c r="K49" s="77">
        <v>2329407.3495943248</v>
      </c>
      <c r="L49" s="77">
        <v>2885060.883986881</v>
      </c>
      <c r="M49" s="77">
        <v>1470925.9766262174</v>
      </c>
      <c r="N49" s="77">
        <v>702651.81642342615</v>
      </c>
      <c r="O49" s="77">
        <v>1209653.0141276773</v>
      </c>
      <c r="P49" s="77">
        <v>1632396.6204939366</v>
      </c>
      <c r="Q49" s="77">
        <v>3270421.7192424191</v>
      </c>
      <c r="R49" s="77">
        <v>1758906.8662381677</v>
      </c>
      <c r="S49" s="77">
        <v>2499656.3338438286</v>
      </c>
      <c r="T49" s="77">
        <v>931422.96484503918</v>
      </c>
      <c r="U49" s="77">
        <v>1716080.1476918915</v>
      </c>
      <c r="V49" s="77">
        <v>1141844.6771898177</v>
      </c>
      <c r="W49" s="77">
        <v>671158.94705181767</v>
      </c>
      <c r="X49" s="77">
        <v>1513311.8811634264</v>
      </c>
      <c r="Y49" s="77">
        <v>1473248.3905214262</v>
      </c>
      <c r="Z49" s="77">
        <v>1931260.9054985812</v>
      </c>
    </row>
    <row r="50" spans="1:26" s="79" customFormat="1" ht="14.25">
      <c r="A50"/>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s="79" customFormat="1" ht="14.25">
      <c r="A51"/>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s="79" customFormat="1" ht="14.25">
      <c r="A52"/>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s="79" customFormat="1" ht="14.25">
      <c r="A53"/>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s="79" customFormat="1" ht="14.25">
      <c r="A54"/>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s="79" customFormat="1" ht="14.25">
      <c r="A55"/>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s="79" customFormat="1" ht="14.25">
      <c r="A5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s="79" customFormat="1" ht="14.25">
      <c r="A57"/>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s="79" customFormat="1" ht="14.25">
      <c r="A58"/>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s="79" customFormat="1" ht="14.25">
      <c r="A59"/>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s="79" customFormat="1" ht="14.25">
      <c r="A60"/>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s="79" customFormat="1" ht="14.25">
      <c r="A61"/>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s="79" customFormat="1" ht="14.25">
      <c r="A62"/>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s="79" customFormat="1" ht="14.25">
      <c r="A63"/>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s="79" customFormat="1" ht="14.25">
      <c r="A64"/>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s="79" customFormat="1" ht="14.25">
      <c r="A65"/>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s="79" customFormat="1" ht="14.25">
      <c r="A6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s="79" customFormat="1" ht="14.25">
      <c r="A67"/>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s="79" customFormat="1" ht="14.25">
      <c r="A68"/>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s="79" customFormat="1" ht="14.25">
      <c r="A69"/>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s="79" customFormat="1" ht="14.25">
      <c r="A70"/>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s="79" customFormat="1" ht="14.25">
      <c r="A71"/>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s="79" customFormat="1" ht="14.25">
      <c r="A72"/>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s="79" customFormat="1" ht="14.25">
      <c r="A73"/>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s="79" customFormat="1" ht="14.25">
      <c r="A74"/>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s="79" customFormat="1" ht="14.25">
      <c r="A75"/>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s="79" customFormat="1" ht="14.25">
      <c r="A7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s="79" customFormat="1" ht="14.25">
      <c r="A77"/>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s="79" customFormat="1" ht="14.25">
      <c r="A78"/>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s="79" customFormat="1" ht="14.25">
      <c r="A79"/>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s="79" customFormat="1" ht="14.25">
      <c r="A80"/>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s="79" customFormat="1" ht="14.25">
      <c r="A81"/>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s="79" customFormat="1" ht="14.25">
      <c r="A82"/>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s="79" customFormat="1" ht="14.25">
      <c r="A83"/>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s="79" customFormat="1" ht="14.25">
      <c r="A84"/>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s="79" customFormat="1" ht="14.25">
      <c r="A85"/>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s="79" customFormat="1" ht="14.25">
      <c r="A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s="79" customFormat="1" ht="14.25">
      <c r="A87"/>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s="79" customFormat="1" ht="14.25">
      <c r="A88"/>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4.25">
      <c r="A89"/>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c r="B90" s="77"/>
    </row>
    <row r="91" spans="1:26">
      <c r="A91" s="87">
        <f>SUM(B91:Z91)</f>
        <v>251382731.85056114</v>
      </c>
      <c r="B91" s="77">
        <f>+GETPIVOTDATA("Suma de SEDE 1 - MANZANA LIEVANO - ALCALDÍA MAYOR",$A$4)+B2</f>
        <v>23047022.813643731</v>
      </c>
      <c r="C91" s="78">
        <f>+GETPIVOTDATA("Suma de SEDE 2- DIRECCIÓN DISTRITAL DE ARCHIVO DE  BOGOTA ",$A$4)+C2</f>
        <v>2728316.3361640908</v>
      </c>
      <c r="D91" s="78">
        <f>+GETPIVOTDATA("Suma de SEDE 3 - IMPRENTA DISTRITAL",$A$4)+D2</f>
        <v>1652903.8027913962</v>
      </c>
      <c r="E91" s="78">
        <f>+GETPIVOTDATA("Suma de SEDE 4 - SEDE ALTERNA RESTREPO ",$A$4)+E2</f>
        <v>203388.46504208946</v>
      </c>
      <c r="F91" s="78">
        <f>+GETPIVOTDATA("Suma de SEDE 5 - SUPERCADE CAD CARRERA ",$A$4)+F2</f>
        <v>5563346.5923247682</v>
      </c>
      <c r="G91" s="78">
        <f>+GETPIVOTDATA("Suma de SEDE 6 - SUPERCADE AMERICAS ",$A$4)+G2</f>
        <v>866234.76016292418</v>
      </c>
      <c r="H91" s="78">
        <f>+GETPIVOTDATA("Suma de SEDE 7 - SUPERCADE BOSA ",$A$4)+H2</f>
        <v>2346020.9497629246</v>
      </c>
      <c r="I91" s="78">
        <f>+GETPIVOTDATA("Suma de SEDE 8 - SUPERCADE CALLE 13 ",$A$4)+I2</f>
        <v>816247.40487735404</v>
      </c>
      <c r="J91" s="78">
        <f>+J2+GETPIVOTDATA("Suma de SEDE 9 - SUPERCADE 20 DE JULIO ",$A$4)</f>
        <v>3068082.2312529255</v>
      </c>
      <c r="K91" s="78">
        <f>+GETPIVOTDATA("Suma de SEDE 10 - SUPERCADE MANITAS ",$A$4)+K2</f>
        <v>33624445.349594325</v>
      </c>
      <c r="L91" s="78">
        <f>+GETPIVOTDATA("Suma de SEDE 11 - SUPERCADE SUBA ",$A$4)+L2</f>
        <v>34370921.883986883</v>
      </c>
      <c r="M91" s="78">
        <f>+GETPIVOTDATA("Suma de SEDE 12 - SUPERCADE SOCIAL",$A$4)+M2</f>
        <v>7195627.9766262174</v>
      </c>
      <c r="N91" s="78">
        <f>+GETPIVOTDATA("Suma de SEDE 13 - CADE SERVITA ",$A$4)+N2</f>
        <v>6427353.8164234264</v>
      </c>
      <c r="O91" s="78">
        <f>+GETPIVOTDATA("Suma de SEDE 14 - CADE LA VICTORIA ",$A$4)+O2</f>
        <v>9796706.0141276773</v>
      </c>
      <c r="P91" s="78">
        <f>+GETPIVOTDATA("Suma de SEDE 15 - CADE LA GAITANA ",$A$4)+P2</f>
        <v>10219449.620493937</v>
      </c>
      <c r="Q91" s="78">
        <f>+GETPIVOTDATA("Suma de SEDE 16 - SUPERCADE ENGATIVA ",$A$4)+Q2</f>
        <v>20158292.71924242</v>
      </c>
      <c r="R91" s="78">
        <f>+GETPIVOTDATA("Suma de SEDE 17 - CADE LOS LUCEROS ",$A$4)+R2</f>
        <v>4621257.8662381675</v>
      </c>
      <c r="S91" s="78">
        <f>+GETPIVOTDATA("Suma de SEDE 18 - CENTRO DE MEMORIA, PAZ Y RECONCILIACIÓN ",$A$4)+S2</f>
        <v>24253524.333843827</v>
      </c>
      <c r="T91" s="78">
        <f>+GETPIVOTDATA("Suma de SEDE 19 - CENTRO DE ENCUENTRO BOSA ",$A$4)+T2</f>
        <v>17723882.964845039</v>
      </c>
      <c r="U91" s="78">
        <f>+GETPIVOTDATA("Suma de SEDE 20 - CENTRO DE ENCUENTRO CHAPINERO ",$A$4)+U2</f>
        <v>13070073.147691891</v>
      </c>
      <c r="V91" s="78">
        <f>+GETPIVOTDATA("Suma de SEDE 21 - CENTRO DE ENCUENTRO CIUDAD BOLIVAR ",$A$4)+V2</f>
        <v>9728897.6771898177</v>
      </c>
      <c r="W91" s="78">
        <f>+GETPIVOTDATA("Suma de SEDE 22 - CENTRO DE ENCUENTRO KENNEDY PATIO BONITO ",$A$4)+W2</f>
        <v>6395860.9470518176</v>
      </c>
      <c r="X91" s="78">
        <f>+GETPIVOTDATA("Suma de SEDE 23 - CENTRO DE ENCUENTRO RAFAEL URIBE ",$A$4)+X2</f>
        <v>10100364.881163426</v>
      </c>
      <c r="Y91" s="78">
        <f>+GETPIVOTDATA("Suma de SEDE 24 - CENTRO DE ENCUENTRO SUBA ",$A$4)+Y2</f>
        <v>1473248.3905214262</v>
      </c>
      <c r="Z91" s="78">
        <f>+GETPIVOTDATA("Suma de SEDE 25 - SEDE ALTERNA TEQUENDAMA",$A$4)+Z2</f>
        <v>1931260.9054985812</v>
      </c>
    </row>
    <row r="92" spans="1:26">
      <c r="B92" s="77"/>
    </row>
    <row r="93" spans="1:26">
      <c r="B93" s="77"/>
    </row>
    <row r="94" spans="1:26">
      <c r="B94" s="77"/>
    </row>
    <row r="95" spans="1:26">
      <c r="B95" s="77"/>
    </row>
    <row r="96" spans="1:26">
      <c r="B96" s="77"/>
    </row>
    <row r="97" spans="2:2">
      <c r="B97" s="77"/>
    </row>
    <row r="98" spans="2:2">
      <c r="B98" s="77"/>
    </row>
    <row r="99" spans="2:2">
      <c r="B99" s="77"/>
    </row>
    <row r="100" spans="2:2">
      <c r="B100" s="77"/>
    </row>
    <row r="101" spans="2:2">
      <c r="B101" s="77"/>
    </row>
    <row r="102" spans="2:2">
      <c r="B102" s="77"/>
    </row>
    <row r="103" spans="2:2">
      <c r="B103" s="77"/>
    </row>
    <row r="104" spans="2:2">
      <c r="B104" s="77"/>
    </row>
    <row r="105" spans="2:2">
      <c r="B105" s="77"/>
    </row>
    <row r="106" spans="2:2">
      <c r="B106" s="77"/>
    </row>
    <row r="107" spans="2:2">
      <c r="B107" s="77"/>
    </row>
    <row r="108" spans="2:2">
      <c r="B108" s="77"/>
    </row>
    <row r="109" spans="2:2">
      <c r="B109" s="77"/>
    </row>
    <row r="110" spans="2:2">
      <c r="B110" s="77"/>
    </row>
    <row r="111" spans="2:2">
      <c r="B111" s="77"/>
    </row>
    <row r="112" spans="2:2">
      <c r="B112" s="77"/>
    </row>
    <row r="113" spans="2:2">
      <c r="B113" s="77"/>
    </row>
    <row r="114" spans="2:2">
      <c r="B114" s="77"/>
    </row>
    <row r="115" spans="2:2">
      <c r="B115" s="77"/>
    </row>
    <row r="116" spans="2:2">
      <c r="B116" s="77"/>
    </row>
    <row r="117" spans="2:2">
      <c r="B117" s="77"/>
    </row>
    <row r="118" spans="2:2">
      <c r="B118" s="77"/>
    </row>
    <row r="119" spans="2:2">
      <c r="B119" s="77"/>
    </row>
    <row r="120" spans="2:2">
      <c r="B120" s="77"/>
    </row>
    <row r="121" spans="2:2">
      <c r="B121" s="77"/>
    </row>
    <row r="122" spans="2:2">
      <c r="B122" s="77"/>
    </row>
    <row r="123" spans="2:2">
      <c r="B123" s="77"/>
    </row>
    <row r="124" spans="2:2">
      <c r="B124" s="77"/>
    </row>
    <row r="125" spans="2:2">
      <c r="B125" s="77"/>
    </row>
    <row r="126" spans="2:2">
      <c r="B126" s="77"/>
    </row>
    <row r="127" spans="2:2">
      <c r="B127" s="77"/>
    </row>
    <row r="128" spans="2:2">
      <c r="B128" s="77"/>
    </row>
    <row r="129" spans="2:2">
      <c r="B129" s="77"/>
    </row>
    <row r="130" spans="2:2">
      <c r="B130" s="77"/>
    </row>
    <row r="131" spans="2:2">
      <c r="B131" s="77"/>
    </row>
    <row r="132" spans="2:2">
      <c r="B132" s="77"/>
    </row>
    <row r="133" spans="2:2">
      <c r="B133" s="77"/>
    </row>
    <row r="134" spans="2:2">
      <c r="B134" s="77"/>
    </row>
    <row r="135" spans="2:2">
      <c r="B135" s="77"/>
    </row>
    <row r="136" spans="2:2">
      <c r="B136" s="77"/>
    </row>
    <row r="137" spans="2:2">
      <c r="B137" s="77"/>
    </row>
    <row r="138" spans="2:2">
      <c r="B138" s="77"/>
    </row>
    <row r="139" spans="2:2">
      <c r="B139" s="77"/>
    </row>
    <row r="140" spans="2:2">
      <c r="B140" s="77"/>
    </row>
    <row r="141" spans="2:2">
      <c r="B141" s="77"/>
    </row>
    <row r="142" spans="2:2">
      <c r="B142" s="77"/>
    </row>
    <row r="143" spans="2:2">
      <c r="B143" s="77"/>
    </row>
    <row r="144" spans="2:2">
      <c r="B144" s="77"/>
    </row>
    <row r="145" spans="2:2">
      <c r="B145" s="77"/>
    </row>
    <row r="146" spans="2:2">
      <c r="B146" s="77"/>
    </row>
    <row r="147" spans="2:2">
      <c r="B147" s="77"/>
    </row>
    <row r="148" spans="2:2">
      <c r="B148" s="77"/>
    </row>
    <row r="149" spans="2:2">
      <c r="B149" s="77"/>
    </row>
    <row r="150" spans="2:2">
      <c r="B150" s="77"/>
    </row>
    <row r="151" spans="2:2">
      <c r="B151" s="77"/>
    </row>
    <row r="152" spans="2:2">
      <c r="B152" s="77"/>
    </row>
    <row r="153" spans="2:2">
      <c r="B153" s="77"/>
    </row>
    <row r="154" spans="2:2">
      <c r="B154" s="77"/>
    </row>
    <row r="155" spans="2:2">
      <c r="B155" s="77"/>
    </row>
    <row r="156" spans="2:2">
      <c r="B156" s="77"/>
    </row>
    <row r="157" spans="2:2">
      <c r="B157" s="77"/>
    </row>
    <row r="158" spans="2:2">
      <c r="B158" s="77"/>
    </row>
    <row r="159" spans="2:2">
      <c r="B159" s="77"/>
    </row>
    <row r="160" spans="2:2">
      <c r="B160" s="77"/>
    </row>
    <row r="161" spans="2:2">
      <c r="B161" s="77"/>
    </row>
    <row r="162" spans="2:2">
      <c r="B162" s="77"/>
    </row>
    <row r="163" spans="2:2">
      <c r="B163" s="77"/>
    </row>
    <row r="164" spans="2:2">
      <c r="B164" s="77"/>
    </row>
    <row r="165" spans="2:2">
      <c r="B165" s="77"/>
    </row>
    <row r="166" spans="2:2">
      <c r="B166" s="77"/>
    </row>
    <row r="167" spans="2:2">
      <c r="B167" s="77"/>
    </row>
    <row r="168" spans="2:2">
      <c r="B168" s="77"/>
    </row>
    <row r="169" spans="2:2">
      <c r="B169" s="77"/>
    </row>
    <row r="170" spans="2:2">
      <c r="B170" s="77"/>
    </row>
    <row r="171" spans="2:2">
      <c r="B171" s="77"/>
    </row>
    <row r="172" spans="2:2">
      <c r="B172" s="77"/>
    </row>
    <row r="173" spans="2:2">
      <c r="B173" s="77"/>
    </row>
    <row r="174" spans="2:2">
      <c r="B174" s="77"/>
    </row>
    <row r="175" spans="2:2">
      <c r="B175" s="77"/>
    </row>
    <row r="176" spans="2:2">
      <c r="B176" s="77"/>
    </row>
    <row r="177" spans="2:2">
      <c r="B177" s="77"/>
    </row>
    <row r="178" spans="2:2">
      <c r="B178" s="77"/>
    </row>
    <row r="179" spans="2:2">
      <c r="B179" s="77"/>
    </row>
    <row r="180" spans="2:2">
      <c r="B180" s="77"/>
    </row>
    <row r="181" spans="2:2">
      <c r="B181" s="77"/>
    </row>
    <row r="182" spans="2:2">
      <c r="B182" s="77"/>
    </row>
    <row r="183" spans="2:2">
      <c r="B183" s="77"/>
    </row>
    <row r="184" spans="2:2">
      <c r="B184" s="77"/>
    </row>
    <row r="185" spans="2:2">
      <c r="B185" s="77"/>
    </row>
    <row r="186" spans="2:2">
      <c r="B186" s="77"/>
    </row>
    <row r="187" spans="2:2">
      <c r="B187" s="77"/>
    </row>
    <row r="188" spans="2:2">
      <c r="B188" s="77"/>
    </row>
    <row r="189" spans="2:2">
      <c r="B189" s="77"/>
    </row>
    <row r="190" spans="2:2">
      <c r="B190" s="77"/>
    </row>
    <row r="191" spans="2:2">
      <c r="B191" s="77"/>
    </row>
    <row r="192" spans="2:2">
      <c r="B192" s="77"/>
    </row>
    <row r="193" spans="2:2">
      <c r="B193" s="77"/>
    </row>
    <row r="194" spans="2:2">
      <c r="B194" s="77"/>
    </row>
    <row r="195" spans="2:2">
      <c r="B195" s="77"/>
    </row>
    <row r="196" spans="2:2">
      <c r="B196" s="77"/>
    </row>
    <row r="197" spans="2:2">
      <c r="B197" s="77"/>
    </row>
    <row r="198" spans="2:2">
      <c r="B198" s="77"/>
    </row>
    <row r="199" spans="2:2">
      <c r="B199" s="77"/>
    </row>
  </sheetData>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35"/>
  <sheetViews>
    <sheetView workbookViewId="0">
      <pane xSplit="1" ySplit="2" topLeftCell="B3" activePane="bottomRight" state="frozen"/>
      <selection pane="topRight" activeCell="B1" sqref="B1"/>
      <selection pane="bottomLeft" activeCell="A3" sqref="A3"/>
      <selection pane="bottomRight" activeCell="M14" sqref="M14"/>
    </sheetView>
  </sheetViews>
  <sheetFormatPr baseColWidth="10" defaultColWidth="11" defaultRowHeight="23.25" customHeight="1"/>
  <cols>
    <col min="1" max="1" width="11" style="83"/>
    <col min="2" max="2" width="3.375" style="83" bestFit="1" customWidth="1"/>
    <col min="3" max="3" width="29.875" style="83" customWidth="1"/>
    <col min="4" max="4" width="37" style="83" customWidth="1"/>
    <col min="5" max="5" width="16.375" style="83" customWidth="1"/>
    <col min="6" max="7" width="11.125" style="132" hidden="1" customWidth="1"/>
    <col min="8" max="9" width="11" style="83" hidden="1" customWidth="1"/>
    <col min="10" max="10" width="11" style="132" hidden="1" customWidth="1"/>
    <col min="11" max="11" width="11" style="132"/>
    <col min="12" max="12" width="13.375" style="132" bestFit="1" customWidth="1"/>
    <col min="13" max="15" width="11" style="132"/>
    <col min="16" max="16" width="11" style="83"/>
    <col min="17" max="17" width="11" style="132"/>
    <col min="18" max="16384" width="11" style="83"/>
  </cols>
  <sheetData>
    <row r="1" spans="1:20" ht="13.5" thickBot="1">
      <c r="F1" s="158"/>
      <c r="G1" s="158"/>
      <c r="J1" s="158"/>
      <c r="K1" s="159">
        <v>3.73444E-2</v>
      </c>
      <c r="L1" s="158"/>
      <c r="M1" s="158"/>
      <c r="N1" s="158"/>
      <c r="O1" s="158"/>
      <c r="Q1" s="158"/>
    </row>
    <row r="2" spans="1:20" ht="23.25" customHeight="1">
      <c r="B2" s="160" t="s">
        <v>438</v>
      </c>
      <c r="C2" s="160" t="s">
        <v>439</v>
      </c>
      <c r="D2" s="161" t="s">
        <v>759</v>
      </c>
      <c r="E2" s="160" t="s">
        <v>760</v>
      </c>
      <c r="F2" s="133" t="s">
        <v>762</v>
      </c>
      <c r="G2" s="133" t="s">
        <v>763</v>
      </c>
      <c r="H2" s="162" t="s">
        <v>764</v>
      </c>
      <c r="I2" s="162" t="s">
        <v>765</v>
      </c>
      <c r="J2" s="133" t="s">
        <v>691</v>
      </c>
      <c r="K2" s="163" t="s">
        <v>435</v>
      </c>
      <c r="L2" s="133" t="s">
        <v>766</v>
      </c>
      <c r="M2" s="133" t="s">
        <v>761</v>
      </c>
      <c r="N2" s="133" t="s">
        <v>917</v>
      </c>
      <c r="O2" s="164">
        <v>0.25</v>
      </c>
      <c r="P2" s="133"/>
      <c r="Q2" s="133" t="s">
        <v>921</v>
      </c>
      <c r="R2" s="133" t="s">
        <v>920</v>
      </c>
      <c r="S2" s="166" t="s">
        <v>945</v>
      </c>
      <c r="T2" s="133"/>
    </row>
    <row r="3" spans="1:20" ht="23.25" customHeight="1">
      <c r="A3" s="134" t="s">
        <v>919</v>
      </c>
      <c r="B3" s="101">
        <v>1</v>
      </c>
      <c r="C3" s="102" t="s">
        <v>445</v>
      </c>
      <c r="D3" s="103" t="s">
        <v>767</v>
      </c>
      <c r="E3" s="102" t="s">
        <v>768</v>
      </c>
      <c r="F3" s="123">
        <v>17470</v>
      </c>
      <c r="G3" s="123">
        <v>10106</v>
      </c>
      <c r="H3" s="105">
        <v>0.25</v>
      </c>
      <c r="I3" s="106">
        <v>0.56614195764167141</v>
      </c>
      <c r="J3" s="123">
        <v>7579.5</v>
      </c>
      <c r="K3" s="123">
        <f t="shared" ref="K3:K34" si="0">+J3*(1+$K$1)</f>
        <v>7862.5518798000003</v>
      </c>
      <c r="L3" s="125">
        <f t="shared" ref="L3:L34" si="1">+K3*M3</f>
        <v>959231.32933560002</v>
      </c>
      <c r="M3" s="126">
        <v>122</v>
      </c>
      <c r="N3" s="128">
        <f>+M3*6</f>
        <v>732</v>
      </c>
      <c r="O3" s="157">
        <f>+ROUND(M3*25%,0)</f>
        <v>31</v>
      </c>
      <c r="P3" s="127"/>
      <c r="Q3" s="104"/>
      <c r="R3" s="104">
        <v>120</v>
      </c>
      <c r="S3" s="104">
        <v>100</v>
      </c>
      <c r="T3" s="104"/>
    </row>
    <row r="4" spans="1:20" ht="23.25" customHeight="1">
      <c r="A4" s="134" t="s">
        <v>919</v>
      </c>
      <c r="B4" s="101">
        <v>5</v>
      </c>
      <c r="C4" s="102" t="s">
        <v>448</v>
      </c>
      <c r="D4" s="103" t="s">
        <v>769</v>
      </c>
      <c r="E4" s="102" t="s">
        <v>770</v>
      </c>
      <c r="F4" s="123">
        <v>4380</v>
      </c>
      <c r="G4" s="123">
        <v>2017</v>
      </c>
      <c r="H4" s="105">
        <v>0.25</v>
      </c>
      <c r="I4" s="106">
        <v>0.6546232876712329</v>
      </c>
      <c r="J4" s="123">
        <v>1512.75</v>
      </c>
      <c r="K4" s="123">
        <f t="shared" si="0"/>
        <v>1569.2427411000001</v>
      </c>
      <c r="L4" s="125">
        <f t="shared" si="1"/>
        <v>171047.45877990001</v>
      </c>
      <c r="M4" s="126">
        <v>109</v>
      </c>
      <c r="N4" s="128">
        <f t="shared" ref="N4:N70" si="2">+M4*6</f>
        <v>654</v>
      </c>
      <c r="O4" s="157">
        <f t="shared" ref="O4:O67" si="3">+ROUND(M4*25%,0)</f>
        <v>27</v>
      </c>
      <c r="P4" s="127"/>
      <c r="Q4" s="104"/>
      <c r="R4" s="104">
        <v>85</v>
      </c>
      <c r="S4" s="104">
        <v>66</v>
      </c>
      <c r="T4" s="104"/>
    </row>
    <row r="5" spans="1:20" ht="23.25" customHeight="1">
      <c r="A5" s="134" t="s">
        <v>919</v>
      </c>
      <c r="B5" s="101">
        <v>7</v>
      </c>
      <c r="C5" s="102" t="s">
        <v>451</v>
      </c>
      <c r="D5" s="103" t="s">
        <v>771</v>
      </c>
      <c r="E5" s="102" t="s">
        <v>772</v>
      </c>
      <c r="F5" s="123">
        <v>4640</v>
      </c>
      <c r="G5" s="123">
        <v>2754</v>
      </c>
      <c r="H5" s="105">
        <v>0.25</v>
      </c>
      <c r="I5" s="106">
        <v>0.55484913793103452</v>
      </c>
      <c r="J5" s="123">
        <v>2065.5</v>
      </c>
      <c r="K5" s="123">
        <f t="shared" si="0"/>
        <v>2142.6348582000001</v>
      </c>
      <c r="L5" s="125">
        <f t="shared" si="1"/>
        <v>188551.86752160001</v>
      </c>
      <c r="M5" s="126">
        <v>88</v>
      </c>
      <c r="N5" s="128">
        <f t="shared" si="2"/>
        <v>528</v>
      </c>
      <c r="O5" s="157">
        <f t="shared" si="3"/>
        <v>22</v>
      </c>
      <c r="P5" s="127"/>
      <c r="Q5" s="104"/>
      <c r="R5" s="104">
        <v>54</v>
      </c>
      <c r="S5" s="104">
        <v>33</v>
      </c>
      <c r="T5" s="104"/>
    </row>
    <row r="6" spans="1:20" ht="23.25" customHeight="1">
      <c r="A6" s="134" t="s">
        <v>919</v>
      </c>
      <c r="B6" s="101">
        <v>11</v>
      </c>
      <c r="C6" s="102" t="s">
        <v>454</v>
      </c>
      <c r="D6" s="103" t="s">
        <v>773</v>
      </c>
      <c r="E6" s="102" t="s">
        <v>768</v>
      </c>
      <c r="F6" s="123">
        <v>13172</v>
      </c>
      <c r="G6" s="123">
        <v>1608</v>
      </c>
      <c r="H6" s="105">
        <v>0.25</v>
      </c>
      <c r="I6" s="106">
        <v>0.90844215001518369</v>
      </c>
      <c r="J6" s="123">
        <v>1206</v>
      </c>
      <c r="K6" s="123">
        <f t="shared" si="0"/>
        <v>1251.0373464000002</v>
      </c>
      <c r="L6" s="125">
        <f t="shared" si="1"/>
        <v>183902.48992080003</v>
      </c>
      <c r="M6" s="126">
        <v>147</v>
      </c>
      <c r="N6" s="128">
        <f t="shared" si="2"/>
        <v>882</v>
      </c>
      <c r="O6" s="157">
        <f t="shared" si="3"/>
        <v>37</v>
      </c>
      <c r="P6" s="127"/>
      <c r="Q6" s="104"/>
      <c r="R6" s="104">
        <v>123</v>
      </c>
      <c r="S6" s="104">
        <v>99</v>
      </c>
      <c r="T6" s="104"/>
    </row>
    <row r="7" spans="1:20" ht="23.25" customHeight="1">
      <c r="A7" s="134" t="s">
        <v>919</v>
      </c>
      <c r="B7" s="101">
        <v>15</v>
      </c>
      <c r="C7" s="102" t="s">
        <v>457</v>
      </c>
      <c r="D7" s="103" t="s">
        <v>774</v>
      </c>
      <c r="E7" s="102" t="s">
        <v>775</v>
      </c>
      <c r="F7" s="123">
        <v>12925</v>
      </c>
      <c r="G7" s="123">
        <v>5869</v>
      </c>
      <c r="H7" s="105">
        <v>0.25</v>
      </c>
      <c r="I7" s="106">
        <v>0.65943907156673109</v>
      </c>
      <c r="J7" s="123">
        <v>4401.75</v>
      </c>
      <c r="K7" s="123">
        <f t="shared" si="0"/>
        <v>4566.1307127</v>
      </c>
      <c r="L7" s="125">
        <f t="shared" si="1"/>
        <v>680353.47619229998</v>
      </c>
      <c r="M7" s="126">
        <v>149</v>
      </c>
      <c r="N7" s="128">
        <f t="shared" si="2"/>
        <v>894</v>
      </c>
      <c r="O7" s="157">
        <f t="shared" si="3"/>
        <v>37</v>
      </c>
      <c r="P7" s="127"/>
      <c r="Q7" s="104"/>
      <c r="R7" s="104">
        <v>140</v>
      </c>
      <c r="S7" s="104">
        <v>88</v>
      </c>
      <c r="T7" s="104"/>
    </row>
    <row r="8" spans="1:20" ht="23.25" customHeight="1">
      <c r="A8" s="134" t="s">
        <v>919</v>
      </c>
      <c r="B8" s="101">
        <v>19</v>
      </c>
      <c r="C8" s="102" t="s">
        <v>460</v>
      </c>
      <c r="D8" s="107" t="s">
        <v>776</v>
      </c>
      <c r="E8" s="102" t="s">
        <v>768</v>
      </c>
      <c r="F8" s="123">
        <v>9398</v>
      </c>
      <c r="G8" s="123">
        <v>7491</v>
      </c>
      <c r="H8" s="105">
        <v>0.25</v>
      </c>
      <c r="I8" s="106">
        <v>0.40218663545435196</v>
      </c>
      <c r="J8" s="123">
        <v>5618.25</v>
      </c>
      <c r="K8" s="123">
        <f t="shared" si="0"/>
        <v>5828.0601753000001</v>
      </c>
      <c r="L8" s="125">
        <f t="shared" si="1"/>
        <v>780960.06349019997</v>
      </c>
      <c r="M8" s="126">
        <v>134</v>
      </c>
      <c r="N8" s="128">
        <f t="shared" si="2"/>
        <v>804</v>
      </c>
      <c r="O8" s="157">
        <f t="shared" si="3"/>
        <v>34</v>
      </c>
      <c r="P8" s="127"/>
      <c r="Q8" s="104"/>
      <c r="R8" s="104">
        <v>113</v>
      </c>
      <c r="S8" s="104">
        <v>86</v>
      </c>
      <c r="T8" s="104"/>
    </row>
    <row r="9" spans="1:20" ht="23.25" customHeight="1">
      <c r="A9" s="134" t="s">
        <v>919</v>
      </c>
      <c r="B9" s="101">
        <v>21</v>
      </c>
      <c r="C9" s="102" t="s">
        <v>463</v>
      </c>
      <c r="D9" s="103" t="s">
        <v>777</v>
      </c>
      <c r="E9" s="102" t="s">
        <v>778</v>
      </c>
      <c r="F9" s="123">
        <v>5062</v>
      </c>
      <c r="G9" s="123">
        <v>4573</v>
      </c>
      <c r="H9" s="105">
        <v>0.25</v>
      </c>
      <c r="I9" s="106">
        <v>0.32245160015804031</v>
      </c>
      <c r="J9" s="123">
        <v>3429.75</v>
      </c>
      <c r="K9" s="123">
        <f t="shared" si="0"/>
        <v>3557.8319559000001</v>
      </c>
      <c r="L9" s="125">
        <f t="shared" si="1"/>
        <v>266837.39669249998</v>
      </c>
      <c r="M9" s="126">
        <v>75</v>
      </c>
      <c r="N9" s="128">
        <f t="shared" si="2"/>
        <v>450</v>
      </c>
      <c r="O9" s="157">
        <f t="shared" si="3"/>
        <v>19</v>
      </c>
      <c r="P9" s="127"/>
      <c r="Q9" s="104"/>
      <c r="R9" s="104">
        <v>66</v>
      </c>
      <c r="S9" s="104">
        <v>38</v>
      </c>
      <c r="T9" s="104"/>
    </row>
    <row r="10" spans="1:20" ht="23.25" customHeight="1">
      <c r="A10" s="134" t="s">
        <v>919</v>
      </c>
      <c r="B10" s="101">
        <v>25</v>
      </c>
      <c r="C10" s="102" t="s">
        <v>464</v>
      </c>
      <c r="D10" s="103" t="s">
        <v>779</v>
      </c>
      <c r="E10" s="102" t="s">
        <v>780</v>
      </c>
      <c r="F10" s="123">
        <v>11757</v>
      </c>
      <c r="G10" s="123">
        <v>5362</v>
      </c>
      <c r="H10" s="105">
        <v>0.25</v>
      </c>
      <c r="I10" s="106">
        <v>0.65794845623883647</v>
      </c>
      <c r="J10" s="123">
        <v>4021.5</v>
      </c>
      <c r="K10" s="123">
        <f t="shared" si="0"/>
        <v>4171.6805045999999</v>
      </c>
      <c r="L10" s="125">
        <f t="shared" si="1"/>
        <v>508945.02156119997</v>
      </c>
      <c r="M10" s="126">
        <v>122</v>
      </c>
      <c r="N10" s="128">
        <f t="shared" si="2"/>
        <v>732</v>
      </c>
      <c r="O10" s="157">
        <f t="shared" si="3"/>
        <v>31</v>
      </c>
      <c r="P10" s="127"/>
      <c r="Q10" s="104"/>
      <c r="R10" s="104">
        <v>166</v>
      </c>
      <c r="S10" s="104">
        <v>103</v>
      </c>
      <c r="T10" s="104"/>
    </row>
    <row r="11" spans="1:20" ht="23.25" customHeight="1">
      <c r="A11" s="134" t="s">
        <v>919</v>
      </c>
      <c r="B11" s="101">
        <v>26</v>
      </c>
      <c r="C11" s="102" t="s">
        <v>465</v>
      </c>
      <c r="D11" s="103" t="s">
        <v>781</v>
      </c>
      <c r="E11" s="102" t="s">
        <v>782</v>
      </c>
      <c r="F11" s="123">
        <v>5754</v>
      </c>
      <c r="G11" s="123">
        <v>3354</v>
      </c>
      <c r="H11" s="105">
        <v>0.25</v>
      </c>
      <c r="I11" s="106">
        <v>0.56282586027111581</v>
      </c>
      <c r="J11" s="123">
        <v>2515.5</v>
      </c>
      <c r="K11" s="123">
        <f t="shared" si="0"/>
        <v>2609.4398381999999</v>
      </c>
      <c r="L11" s="125">
        <f t="shared" si="1"/>
        <v>297476.14155479998</v>
      </c>
      <c r="M11" s="126">
        <v>114</v>
      </c>
      <c r="N11" s="128">
        <f t="shared" si="2"/>
        <v>684</v>
      </c>
      <c r="O11" s="157">
        <f t="shared" si="3"/>
        <v>29</v>
      </c>
      <c r="P11" s="127"/>
      <c r="Q11" s="104"/>
      <c r="R11" s="104">
        <v>264</v>
      </c>
      <c r="S11" s="104">
        <v>256</v>
      </c>
      <c r="T11" s="104"/>
    </row>
    <row r="12" spans="1:20" ht="23.25" customHeight="1">
      <c r="A12" s="134" t="s">
        <v>919</v>
      </c>
      <c r="B12" s="101">
        <v>27</v>
      </c>
      <c r="C12" s="102" t="s">
        <v>468</v>
      </c>
      <c r="D12" s="103" t="s">
        <v>783</v>
      </c>
      <c r="E12" s="102" t="s">
        <v>768</v>
      </c>
      <c r="F12" s="123">
        <v>9634</v>
      </c>
      <c r="G12" s="123">
        <v>4560</v>
      </c>
      <c r="H12" s="105">
        <v>0.25</v>
      </c>
      <c r="I12" s="106">
        <v>0.64500726593315338</v>
      </c>
      <c r="J12" s="123">
        <v>3420</v>
      </c>
      <c r="K12" s="123">
        <f t="shared" si="0"/>
        <v>3547.7178480000002</v>
      </c>
      <c r="L12" s="125">
        <f t="shared" si="1"/>
        <v>525062.24150400003</v>
      </c>
      <c r="M12" s="126">
        <v>148</v>
      </c>
      <c r="N12" s="128">
        <f t="shared" si="2"/>
        <v>888</v>
      </c>
      <c r="O12" s="157">
        <f t="shared" si="3"/>
        <v>37</v>
      </c>
      <c r="P12" s="127"/>
      <c r="Q12" s="104"/>
      <c r="R12" s="104">
        <v>139</v>
      </c>
      <c r="S12" s="104">
        <v>91</v>
      </c>
      <c r="T12" s="104"/>
    </row>
    <row r="13" spans="1:20" ht="23.25" customHeight="1">
      <c r="A13" s="134" t="s">
        <v>919</v>
      </c>
      <c r="B13" s="101">
        <v>30</v>
      </c>
      <c r="C13" s="102" t="s">
        <v>471</v>
      </c>
      <c r="D13" s="103" t="s">
        <v>784</v>
      </c>
      <c r="E13" s="102" t="s">
        <v>780</v>
      </c>
      <c r="F13" s="123">
        <v>8865</v>
      </c>
      <c r="G13" s="123">
        <v>5534</v>
      </c>
      <c r="H13" s="105">
        <v>0.25</v>
      </c>
      <c r="I13" s="106">
        <v>0.53181049069373942</v>
      </c>
      <c r="J13" s="123">
        <v>4150.5</v>
      </c>
      <c r="K13" s="123">
        <f t="shared" si="0"/>
        <v>4305.4979321999999</v>
      </c>
      <c r="L13" s="125">
        <f t="shared" si="1"/>
        <v>973042.53267719992</v>
      </c>
      <c r="M13" s="126">
        <v>226</v>
      </c>
      <c r="N13" s="128">
        <f t="shared" si="2"/>
        <v>1356</v>
      </c>
      <c r="O13" s="157">
        <f t="shared" si="3"/>
        <v>57</v>
      </c>
      <c r="P13" s="127"/>
      <c r="Q13" s="104"/>
      <c r="R13" s="104">
        <v>197</v>
      </c>
      <c r="S13" s="104">
        <v>211</v>
      </c>
      <c r="T13" s="104"/>
    </row>
    <row r="14" spans="1:20" ht="23.25" customHeight="1">
      <c r="A14" s="134" t="s">
        <v>919</v>
      </c>
      <c r="B14" s="101">
        <v>44</v>
      </c>
      <c r="C14" s="102" t="s">
        <v>474</v>
      </c>
      <c r="D14" s="103" t="s">
        <v>785</v>
      </c>
      <c r="E14" s="102" t="s">
        <v>768</v>
      </c>
      <c r="F14" s="123">
        <v>28847</v>
      </c>
      <c r="G14" s="123">
        <v>19277</v>
      </c>
      <c r="H14" s="105">
        <v>0.25</v>
      </c>
      <c r="I14" s="106">
        <v>0.49881270149408952</v>
      </c>
      <c r="J14" s="123">
        <v>14457.75</v>
      </c>
      <c r="K14" s="123">
        <f t="shared" si="0"/>
        <v>14997.665999100001</v>
      </c>
      <c r="L14" s="125">
        <f t="shared" si="1"/>
        <v>2729575.2118362002</v>
      </c>
      <c r="M14" s="126">
        <v>182</v>
      </c>
      <c r="N14" s="128">
        <f t="shared" si="2"/>
        <v>1092</v>
      </c>
      <c r="O14" s="157">
        <f t="shared" si="3"/>
        <v>46</v>
      </c>
      <c r="P14" s="127"/>
      <c r="Q14" s="104"/>
      <c r="R14" s="104">
        <v>161</v>
      </c>
      <c r="S14" s="104">
        <v>120</v>
      </c>
      <c r="T14" s="104"/>
    </row>
    <row r="15" spans="1:20" ht="23.25" customHeight="1">
      <c r="A15" s="134" t="s">
        <v>919</v>
      </c>
      <c r="B15" s="101">
        <v>48</v>
      </c>
      <c r="C15" s="102" t="s">
        <v>477</v>
      </c>
      <c r="D15" s="103" t="s">
        <v>786</v>
      </c>
      <c r="E15" s="102" t="s">
        <v>768</v>
      </c>
      <c r="F15" s="123">
        <v>64693</v>
      </c>
      <c r="G15" s="123">
        <v>33488</v>
      </c>
      <c r="H15" s="105">
        <v>0.25</v>
      </c>
      <c r="I15" s="106">
        <v>0.61176634257183937</v>
      </c>
      <c r="J15" s="123">
        <v>25116</v>
      </c>
      <c r="K15" s="123">
        <f t="shared" si="0"/>
        <v>26053.9419504</v>
      </c>
      <c r="L15" s="125">
        <f t="shared" si="1"/>
        <v>4455224.0735184001</v>
      </c>
      <c r="M15" s="126">
        <v>171</v>
      </c>
      <c r="N15" s="128">
        <f t="shared" si="2"/>
        <v>1026</v>
      </c>
      <c r="O15" s="157">
        <f t="shared" si="3"/>
        <v>43</v>
      </c>
      <c r="P15" s="127"/>
      <c r="Q15" s="104"/>
      <c r="R15" s="104">
        <v>96</v>
      </c>
      <c r="S15" s="104">
        <v>124</v>
      </c>
      <c r="T15" s="104"/>
    </row>
    <row r="16" spans="1:20" ht="23.25" customHeight="1">
      <c r="A16" s="134" t="s">
        <v>919</v>
      </c>
      <c r="B16" s="101">
        <v>49</v>
      </c>
      <c r="C16" s="102" t="s">
        <v>478</v>
      </c>
      <c r="D16" s="103" t="s">
        <v>787</v>
      </c>
      <c r="E16" s="102" t="s">
        <v>788</v>
      </c>
      <c r="F16" s="123">
        <v>24300</v>
      </c>
      <c r="G16" s="123">
        <v>18358</v>
      </c>
      <c r="H16" s="105">
        <v>0.25</v>
      </c>
      <c r="I16" s="106">
        <v>0.43339506172839504</v>
      </c>
      <c r="J16" s="123">
        <v>13768.5</v>
      </c>
      <c r="K16" s="123">
        <f t="shared" si="0"/>
        <v>14282.676371400001</v>
      </c>
      <c r="L16" s="125">
        <f t="shared" si="1"/>
        <v>1613942.4299682002</v>
      </c>
      <c r="M16" s="126">
        <v>113</v>
      </c>
      <c r="N16" s="128">
        <f t="shared" si="2"/>
        <v>678</v>
      </c>
      <c r="O16" s="157">
        <f t="shared" si="3"/>
        <v>28</v>
      </c>
      <c r="P16" s="127"/>
      <c r="Q16" s="104"/>
      <c r="R16" s="104">
        <v>99</v>
      </c>
      <c r="S16" s="104">
        <v>93</v>
      </c>
      <c r="T16" s="104"/>
    </row>
    <row r="17" spans="1:20" ht="23.25" customHeight="1">
      <c r="A17" s="134" t="s">
        <v>919</v>
      </c>
      <c r="B17" s="101">
        <v>50</v>
      </c>
      <c r="C17" s="102" t="s">
        <v>479</v>
      </c>
      <c r="D17" s="103" t="s">
        <v>789</v>
      </c>
      <c r="E17" s="102" t="s">
        <v>768</v>
      </c>
      <c r="F17" s="123">
        <v>16746</v>
      </c>
      <c r="G17" s="123">
        <v>7567</v>
      </c>
      <c r="H17" s="105">
        <v>0.25</v>
      </c>
      <c r="I17" s="106">
        <v>0.66109817269795768</v>
      </c>
      <c r="J17" s="123">
        <v>5675.25</v>
      </c>
      <c r="K17" s="123">
        <f t="shared" si="0"/>
        <v>5887.1888061</v>
      </c>
      <c r="L17" s="125">
        <f t="shared" si="1"/>
        <v>983160.53061869997</v>
      </c>
      <c r="M17" s="126">
        <v>167</v>
      </c>
      <c r="N17" s="128">
        <f t="shared" si="2"/>
        <v>1002</v>
      </c>
      <c r="O17" s="157">
        <f t="shared" si="3"/>
        <v>42</v>
      </c>
      <c r="P17" s="127"/>
      <c r="Q17" s="104"/>
      <c r="R17" s="104">
        <v>139</v>
      </c>
      <c r="S17" s="104">
        <v>150</v>
      </c>
      <c r="T17" s="104"/>
    </row>
    <row r="18" spans="1:20" ht="23.25" customHeight="1">
      <c r="A18" s="134" t="s">
        <v>919</v>
      </c>
      <c r="B18" s="101">
        <v>52</v>
      </c>
      <c r="C18" s="102" t="s">
        <v>480</v>
      </c>
      <c r="D18" s="103" t="s">
        <v>790</v>
      </c>
      <c r="E18" s="102" t="s">
        <v>788</v>
      </c>
      <c r="F18" s="123">
        <v>12921</v>
      </c>
      <c r="G18" s="123">
        <v>6960</v>
      </c>
      <c r="H18" s="105">
        <v>0.2</v>
      </c>
      <c r="I18" s="106">
        <v>0.56907360111446481</v>
      </c>
      <c r="J18" s="123">
        <v>5568</v>
      </c>
      <c r="K18" s="123">
        <f t="shared" si="0"/>
        <v>5775.9336192000001</v>
      </c>
      <c r="L18" s="125">
        <f t="shared" si="1"/>
        <v>155950.20771839999</v>
      </c>
      <c r="M18" s="126">
        <v>27</v>
      </c>
      <c r="N18" s="128">
        <f t="shared" si="2"/>
        <v>162</v>
      </c>
      <c r="O18" s="157">
        <f t="shared" si="3"/>
        <v>7</v>
      </c>
      <c r="P18" s="127"/>
      <c r="Q18" s="104"/>
      <c r="R18" s="104">
        <v>81</v>
      </c>
      <c r="S18" s="104">
        <v>69</v>
      </c>
      <c r="T18" s="104"/>
    </row>
    <row r="19" spans="1:20" ht="23.25" customHeight="1">
      <c r="A19" s="134" t="s">
        <v>919</v>
      </c>
      <c r="B19" s="101">
        <v>55</v>
      </c>
      <c r="C19" s="102" t="s">
        <v>481</v>
      </c>
      <c r="D19" s="103" t="s">
        <v>791</v>
      </c>
      <c r="E19" s="102" t="s">
        <v>768</v>
      </c>
      <c r="F19" s="123">
        <v>36815</v>
      </c>
      <c r="G19" s="123">
        <v>16273</v>
      </c>
      <c r="H19" s="105">
        <v>0.25</v>
      </c>
      <c r="I19" s="106">
        <v>0.6684843134591878</v>
      </c>
      <c r="J19" s="123">
        <v>12204.75</v>
      </c>
      <c r="K19" s="123">
        <f t="shared" si="0"/>
        <v>12660.5290659</v>
      </c>
      <c r="L19" s="125">
        <f t="shared" si="1"/>
        <v>810273.86021760001</v>
      </c>
      <c r="M19" s="126">
        <v>64</v>
      </c>
      <c r="N19" s="128">
        <f t="shared" si="2"/>
        <v>384</v>
      </c>
      <c r="O19" s="157">
        <f t="shared" si="3"/>
        <v>16</v>
      </c>
      <c r="P19" s="127"/>
      <c r="Q19" s="104"/>
      <c r="R19" s="104">
        <v>64</v>
      </c>
      <c r="S19" s="104">
        <v>25</v>
      </c>
      <c r="T19" s="104"/>
    </row>
    <row r="20" spans="1:20" ht="23.25" customHeight="1">
      <c r="A20" s="134" t="s">
        <v>919</v>
      </c>
      <c r="B20" s="101">
        <v>60</v>
      </c>
      <c r="C20" s="102" t="s">
        <v>484</v>
      </c>
      <c r="D20" s="103" t="s">
        <v>792</v>
      </c>
      <c r="E20" s="102" t="s">
        <v>780</v>
      </c>
      <c r="F20" s="123">
        <v>10224</v>
      </c>
      <c r="G20" s="123">
        <v>6024</v>
      </c>
      <c r="H20" s="105">
        <v>0.25</v>
      </c>
      <c r="I20" s="106">
        <v>0.55809859154929575</v>
      </c>
      <c r="J20" s="123">
        <v>4518</v>
      </c>
      <c r="K20" s="123">
        <f t="shared" si="0"/>
        <v>4686.7219992</v>
      </c>
      <c r="L20" s="125">
        <f t="shared" si="1"/>
        <v>618647.30389440001</v>
      </c>
      <c r="M20" s="126">
        <v>132</v>
      </c>
      <c r="N20" s="128">
        <f t="shared" si="2"/>
        <v>792</v>
      </c>
      <c r="O20" s="157">
        <f t="shared" si="3"/>
        <v>33</v>
      </c>
      <c r="P20" s="127"/>
      <c r="Q20" s="104"/>
      <c r="R20" s="104">
        <v>123</v>
      </c>
      <c r="S20" s="104">
        <v>119</v>
      </c>
      <c r="T20" s="104"/>
    </row>
    <row r="21" spans="1:20" ht="23.25" customHeight="1">
      <c r="A21" s="134" t="s">
        <v>919</v>
      </c>
      <c r="B21" s="101">
        <v>61</v>
      </c>
      <c r="C21" s="102" t="s">
        <v>485</v>
      </c>
      <c r="D21" s="103" t="s">
        <v>793</v>
      </c>
      <c r="E21" s="102" t="s">
        <v>794</v>
      </c>
      <c r="F21" s="123">
        <v>14175</v>
      </c>
      <c r="G21" s="123">
        <v>8035</v>
      </c>
      <c r="H21" s="105">
        <v>0.25</v>
      </c>
      <c r="I21" s="106">
        <v>0.57486772486772486</v>
      </c>
      <c r="J21" s="123">
        <v>6026.25</v>
      </c>
      <c r="K21" s="123">
        <f t="shared" si="0"/>
        <v>6251.2966905000003</v>
      </c>
      <c r="L21" s="125">
        <f t="shared" si="1"/>
        <v>500103.73524000001</v>
      </c>
      <c r="M21" s="126">
        <v>80</v>
      </c>
      <c r="N21" s="128">
        <f t="shared" si="2"/>
        <v>480</v>
      </c>
      <c r="O21" s="157">
        <f t="shared" si="3"/>
        <v>20</v>
      </c>
      <c r="P21" s="127"/>
      <c r="Q21" s="104"/>
      <c r="R21" s="104">
        <v>97</v>
      </c>
      <c r="S21" s="104">
        <v>98</v>
      </c>
      <c r="T21" s="104"/>
    </row>
    <row r="22" spans="1:20" ht="23.25" customHeight="1">
      <c r="A22" s="134" t="s">
        <v>919</v>
      </c>
      <c r="B22" s="101">
        <v>62</v>
      </c>
      <c r="C22" s="102" t="s">
        <v>488</v>
      </c>
      <c r="D22" s="103" t="s">
        <v>795</v>
      </c>
      <c r="E22" s="102" t="s">
        <v>796</v>
      </c>
      <c r="F22" s="123">
        <v>20241</v>
      </c>
      <c r="G22" s="123">
        <v>10137</v>
      </c>
      <c r="H22" s="105">
        <v>0.25</v>
      </c>
      <c r="I22" s="106">
        <v>0.62438861716318361</v>
      </c>
      <c r="J22" s="123">
        <v>7602.75</v>
      </c>
      <c r="K22" s="123">
        <f t="shared" si="0"/>
        <v>7886.6701371000008</v>
      </c>
      <c r="L22" s="125">
        <f t="shared" si="1"/>
        <v>291806.79507270001</v>
      </c>
      <c r="M22" s="126">
        <v>37</v>
      </c>
      <c r="N22" s="128">
        <f t="shared" si="2"/>
        <v>222</v>
      </c>
      <c r="O22" s="157">
        <f t="shared" si="3"/>
        <v>9</v>
      </c>
      <c r="P22" s="127"/>
      <c r="Q22" s="104"/>
      <c r="R22" s="104">
        <v>5</v>
      </c>
      <c r="S22" s="104">
        <v>8</v>
      </c>
      <c r="T22" s="104"/>
    </row>
    <row r="23" spans="1:20" ht="23.25" customHeight="1">
      <c r="A23" s="134" t="s">
        <v>919</v>
      </c>
      <c r="B23" s="101">
        <v>63</v>
      </c>
      <c r="C23" s="102" t="s">
        <v>489</v>
      </c>
      <c r="D23" s="107" t="s">
        <v>797</v>
      </c>
      <c r="E23" s="102" t="s">
        <v>796</v>
      </c>
      <c r="F23" s="123">
        <v>21814</v>
      </c>
      <c r="G23" s="123">
        <v>11561</v>
      </c>
      <c r="H23" s="105">
        <v>0.25</v>
      </c>
      <c r="I23" s="106">
        <v>0.60251444026771805</v>
      </c>
      <c r="J23" s="123">
        <v>8670.75</v>
      </c>
      <c r="K23" s="123">
        <f t="shared" si="0"/>
        <v>8994.5539563000002</v>
      </c>
      <c r="L23" s="125">
        <f t="shared" si="1"/>
        <v>413749.4819898</v>
      </c>
      <c r="M23" s="126">
        <v>46</v>
      </c>
      <c r="N23" s="128">
        <f t="shared" si="2"/>
        <v>276</v>
      </c>
      <c r="O23" s="157">
        <f t="shared" si="3"/>
        <v>12</v>
      </c>
      <c r="P23" s="127"/>
      <c r="Q23" s="104"/>
      <c r="R23" s="104">
        <v>150</v>
      </c>
      <c r="S23" s="104">
        <v>103</v>
      </c>
      <c r="T23" s="104"/>
    </row>
    <row r="24" spans="1:20" ht="23.25" customHeight="1">
      <c r="A24" s="134" t="s">
        <v>919</v>
      </c>
      <c r="B24" s="101">
        <v>64</v>
      </c>
      <c r="C24" s="102" t="s">
        <v>492</v>
      </c>
      <c r="D24" s="107" t="s">
        <v>798</v>
      </c>
      <c r="E24" s="102" t="s">
        <v>799</v>
      </c>
      <c r="F24" s="123">
        <v>7210</v>
      </c>
      <c r="G24" s="123">
        <v>1251</v>
      </c>
      <c r="H24" s="105">
        <v>0.20000000000000004</v>
      </c>
      <c r="I24" s="106">
        <v>0.86119278779472952</v>
      </c>
      <c r="J24" s="123">
        <v>1000.8</v>
      </c>
      <c r="K24" s="123">
        <f t="shared" si="0"/>
        <v>1038.17427552</v>
      </c>
      <c r="L24" s="125">
        <f t="shared" si="1"/>
        <v>129771.78444</v>
      </c>
      <c r="M24" s="126">
        <v>125</v>
      </c>
      <c r="N24" s="128">
        <f t="shared" si="2"/>
        <v>750</v>
      </c>
      <c r="O24" s="157">
        <f t="shared" si="3"/>
        <v>31</v>
      </c>
      <c r="P24" s="127"/>
      <c r="Q24" s="104"/>
      <c r="R24" s="104">
        <v>118</v>
      </c>
      <c r="S24" s="104">
        <v>149</v>
      </c>
      <c r="T24" s="104"/>
    </row>
    <row r="25" spans="1:20" ht="23.25" customHeight="1">
      <c r="A25" s="134" t="s">
        <v>919</v>
      </c>
      <c r="B25" s="101">
        <v>65</v>
      </c>
      <c r="C25" s="102" t="s">
        <v>493</v>
      </c>
      <c r="D25" s="107" t="s">
        <v>800</v>
      </c>
      <c r="E25" s="102" t="s">
        <v>799</v>
      </c>
      <c r="F25" s="123">
        <v>14568</v>
      </c>
      <c r="G25" s="123">
        <v>1545</v>
      </c>
      <c r="H25" s="105">
        <v>0.2</v>
      </c>
      <c r="I25" s="106">
        <v>0.91515650741350907</v>
      </c>
      <c r="J25" s="123">
        <v>1236</v>
      </c>
      <c r="K25" s="123">
        <f t="shared" si="0"/>
        <v>1282.1576784000001</v>
      </c>
      <c r="L25" s="125">
        <f t="shared" si="1"/>
        <v>37182.572673600007</v>
      </c>
      <c r="M25" s="126">
        <v>29</v>
      </c>
      <c r="N25" s="128">
        <f t="shared" si="2"/>
        <v>174</v>
      </c>
      <c r="O25" s="157">
        <f t="shared" si="3"/>
        <v>7</v>
      </c>
      <c r="P25" s="127"/>
      <c r="Q25" s="104"/>
      <c r="R25" s="104">
        <v>56</v>
      </c>
      <c r="S25" s="104">
        <v>70</v>
      </c>
      <c r="T25" s="104"/>
    </row>
    <row r="26" spans="1:20" ht="23.25" customHeight="1">
      <c r="A26" s="134" t="s">
        <v>919</v>
      </c>
      <c r="B26" s="101">
        <v>66</v>
      </c>
      <c r="C26" s="102" t="s">
        <v>494</v>
      </c>
      <c r="D26" s="103" t="s">
        <v>801</v>
      </c>
      <c r="E26" s="102" t="s">
        <v>799</v>
      </c>
      <c r="F26" s="123">
        <v>5824</v>
      </c>
      <c r="G26" s="123">
        <v>1545</v>
      </c>
      <c r="H26" s="105">
        <v>0.2</v>
      </c>
      <c r="I26" s="106">
        <v>0.78777472527472525</v>
      </c>
      <c r="J26" s="123">
        <v>1236</v>
      </c>
      <c r="K26" s="123">
        <f t="shared" si="0"/>
        <v>1282.1576784000001</v>
      </c>
      <c r="L26" s="125">
        <f t="shared" si="1"/>
        <v>33336.099638400003</v>
      </c>
      <c r="M26" s="126">
        <v>26</v>
      </c>
      <c r="N26" s="128">
        <f t="shared" si="2"/>
        <v>156</v>
      </c>
      <c r="O26" s="157">
        <f t="shared" si="3"/>
        <v>7</v>
      </c>
      <c r="P26" s="127"/>
      <c r="Q26" s="104"/>
      <c r="R26" s="104">
        <v>17</v>
      </c>
      <c r="S26" s="104">
        <v>37</v>
      </c>
      <c r="T26" s="104"/>
    </row>
    <row r="27" spans="1:20" ht="23.25" customHeight="1">
      <c r="A27" s="134" t="s">
        <v>919</v>
      </c>
      <c r="B27" s="101">
        <v>67</v>
      </c>
      <c r="C27" s="102" t="s">
        <v>495</v>
      </c>
      <c r="D27" s="103" t="s">
        <v>802</v>
      </c>
      <c r="E27" s="102" t="s">
        <v>799</v>
      </c>
      <c r="F27" s="123">
        <v>14725</v>
      </c>
      <c r="G27" s="123">
        <v>1251</v>
      </c>
      <c r="H27" s="105">
        <v>0.20000000000000004</v>
      </c>
      <c r="I27" s="106">
        <v>0.93203395585738535</v>
      </c>
      <c r="J27" s="123">
        <v>1000.8</v>
      </c>
      <c r="K27" s="123">
        <f t="shared" si="0"/>
        <v>1038.17427552</v>
      </c>
      <c r="L27" s="125">
        <f t="shared" si="1"/>
        <v>9343.5684796799997</v>
      </c>
      <c r="M27" s="126">
        <v>9</v>
      </c>
      <c r="N27" s="128">
        <f t="shared" si="2"/>
        <v>54</v>
      </c>
      <c r="O27" s="157">
        <f t="shared" si="3"/>
        <v>2</v>
      </c>
      <c r="P27" s="127"/>
      <c r="Q27" s="104"/>
      <c r="R27" s="104">
        <v>5</v>
      </c>
      <c r="S27" s="104">
        <v>8</v>
      </c>
      <c r="T27" s="104"/>
    </row>
    <row r="28" spans="1:20" ht="23.25" customHeight="1">
      <c r="A28" s="134" t="s">
        <v>919</v>
      </c>
      <c r="B28" s="101">
        <v>68</v>
      </c>
      <c r="C28" s="102" t="s">
        <v>496</v>
      </c>
      <c r="D28" s="103" t="s">
        <v>803</v>
      </c>
      <c r="E28" s="102" t="s">
        <v>799</v>
      </c>
      <c r="F28" s="123">
        <v>18310</v>
      </c>
      <c r="G28" s="123">
        <v>1251</v>
      </c>
      <c r="H28" s="105">
        <v>0.20000000000000004</v>
      </c>
      <c r="I28" s="106">
        <v>0.94534134352812671</v>
      </c>
      <c r="J28" s="123">
        <v>1000.8</v>
      </c>
      <c r="K28" s="123">
        <f t="shared" si="0"/>
        <v>1038.17427552</v>
      </c>
      <c r="L28" s="125">
        <f t="shared" si="1"/>
        <v>2076.3485510400001</v>
      </c>
      <c r="M28" s="126">
        <v>2</v>
      </c>
      <c r="N28" s="128">
        <f t="shared" si="2"/>
        <v>12</v>
      </c>
      <c r="O28" s="157">
        <f t="shared" si="3"/>
        <v>1</v>
      </c>
      <c r="P28" s="127"/>
      <c r="Q28" s="104"/>
      <c r="R28" s="104">
        <v>5</v>
      </c>
      <c r="S28" s="104">
        <v>7</v>
      </c>
      <c r="T28" s="104"/>
    </row>
    <row r="29" spans="1:20" ht="23.25" customHeight="1">
      <c r="A29" s="134" t="s">
        <v>919</v>
      </c>
      <c r="B29" s="101">
        <v>69</v>
      </c>
      <c r="C29" s="102" t="s">
        <v>497</v>
      </c>
      <c r="D29" s="103" t="s">
        <v>804</v>
      </c>
      <c r="E29" s="102" t="s">
        <v>799</v>
      </c>
      <c r="F29" s="123">
        <v>10018</v>
      </c>
      <c r="G29" s="123">
        <v>1545</v>
      </c>
      <c r="H29" s="105">
        <v>0.25</v>
      </c>
      <c r="I29" s="106">
        <v>0.88433320023956874</v>
      </c>
      <c r="J29" s="123">
        <v>1158.75</v>
      </c>
      <c r="K29" s="123">
        <f t="shared" si="0"/>
        <v>1202.0228235</v>
      </c>
      <c r="L29" s="125">
        <f t="shared" si="1"/>
        <v>195929.72023049998</v>
      </c>
      <c r="M29" s="126">
        <v>163</v>
      </c>
      <c r="N29" s="128">
        <f t="shared" si="2"/>
        <v>978</v>
      </c>
      <c r="O29" s="157">
        <f t="shared" si="3"/>
        <v>41</v>
      </c>
      <c r="P29" s="127"/>
      <c r="Q29" s="104"/>
      <c r="R29" s="104">
        <v>146</v>
      </c>
      <c r="S29" s="104">
        <v>119</v>
      </c>
      <c r="T29" s="104"/>
    </row>
    <row r="30" spans="1:20" ht="23.25" customHeight="1">
      <c r="A30" s="134" t="s">
        <v>919</v>
      </c>
      <c r="B30" s="101">
        <v>70</v>
      </c>
      <c r="C30" s="102" t="s">
        <v>498</v>
      </c>
      <c r="D30" s="103" t="s">
        <v>805</v>
      </c>
      <c r="E30" s="102" t="s">
        <v>799</v>
      </c>
      <c r="F30" s="123">
        <v>10136</v>
      </c>
      <c r="G30" s="123">
        <v>1545</v>
      </c>
      <c r="H30" s="105">
        <v>0.2</v>
      </c>
      <c r="I30" s="106">
        <v>0.87805840568271509</v>
      </c>
      <c r="J30" s="123">
        <v>1236</v>
      </c>
      <c r="K30" s="123">
        <f t="shared" si="0"/>
        <v>1282.1576784000001</v>
      </c>
      <c r="L30" s="125">
        <f t="shared" si="1"/>
        <v>128215.76784000001</v>
      </c>
      <c r="M30" s="126">
        <v>100</v>
      </c>
      <c r="N30" s="128">
        <f t="shared" si="2"/>
        <v>600</v>
      </c>
      <c r="O30" s="157">
        <f t="shared" si="3"/>
        <v>25</v>
      </c>
      <c r="P30" s="127"/>
      <c r="Q30" s="104"/>
      <c r="R30" s="104">
        <v>139</v>
      </c>
      <c r="S30" s="104">
        <v>101</v>
      </c>
      <c r="T30" s="104"/>
    </row>
    <row r="31" spans="1:20" ht="23.25" customHeight="1">
      <c r="A31" s="134" t="s">
        <v>919</v>
      </c>
      <c r="B31" s="101">
        <v>72</v>
      </c>
      <c r="C31" s="102" t="s">
        <v>501</v>
      </c>
      <c r="D31" s="103" t="s">
        <v>806</v>
      </c>
      <c r="E31" s="102" t="s">
        <v>807</v>
      </c>
      <c r="F31" s="123">
        <v>9243</v>
      </c>
      <c r="G31" s="123">
        <v>1444</v>
      </c>
      <c r="H31" s="105">
        <v>0.25</v>
      </c>
      <c r="I31" s="106">
        <v>0.8828302499188575</v>
      </c>
      <c r="J31" s="123">
        <v>1083</v>
      </c>
      <c r="K31" s="123">
        <f t="shared" si="0"/>
        <v>1123.4439852</v>
      </c>
      <c r="L31" s="125">
        <f t="shared" si="1"/>
        <v>176380.70567640002</v>
      </c>
      <c r="M31" s="126">
        <v>157</v>
      </c>
      <c r="N31" s="128">
        <f t="shared" si="2"/>
        <v>942</v>
      </c>
      <c r="O31" s="157">
        <f t="shared" si="3"/>
        <v>39</v>
      </c>
      <c r="P31" s="127"/>
      <c r="Q31" s="104"/>
      <c r="R31" s="104">
        <v>152</v>
      </c>
      <c r="S31" s="104">
        <v>158</v>
      </c>
      <c r="T31" s="104"/>
    </row>
    <row r="32" spans="1:20" ht="23.25" customHeight="1">
      <c r="A32" s="134" t="s">
        <v>919</v>
      </c>
      <c r="B32" s="101">
        <v>73</v>
      </c>
      <c r="C32" s="102" t="s">
        <v>502</v>
      </c>
      <c r="D32" s="103" t="s">
        <v>808</v>
      </c>
      <c r="E32" s="102" t="s">
        <v>809</v>
      </c>
      <c r="F32" s="123">
        <v>24261</v>
      </c>
      <c r="G32" s="123">
        <v>1237</v>
      </c>
      <c r="H32" s="105">
        <v>0.19999999999999998</v>
      </c>
      <c r="I32" s="106">
        <v>0.95921025514199743</v>
      </c>
      <c r="J32" s="123">
        <v>989.6</v>
      </c>
      <c r="K32" s="123">
        <f t="shared" si="0"/>
        <v>1026.5560182400002</v>
      </c>
      <c r="L32" s="125">
        <f t="shared" si="1"/>
        <v>90336.929605120022</v>
      </c>
      <c r="M32" s="126">
        <v>88</v>
      </c>
      <c r="N32" s="128">
        <f t="shared" si="2"/>
        <v>528</v>
      </c>
      <c r="O32" s="157">
        <f t="shared" si="3"/>
        <v>22</v>
      </c>
      <c r="P32" s="127"/>
      <c r="Q32" s="104"/>
      <c r="R32" s="104">
        <v>28</v>
      </c>
      <c r="S32" s="104">
        <v>51</v>
      </c>
      <c r="T32" s="104"/>
    </row>
    <row r="33" spans="1:20" ht="23.25" customHeight="1">
      <c r="A33" s="134" t="s">
        <v>919</v>
      </c>
      <c r="B33" s="101">
        <v>75</v>
      </c>
      <c r="C33" s="102" t="s">
        <v>505</v>
      </c>
      <c r="D33" s="103" t="s">
        <v>810</v>
      </c>
      <c r="E33" s="102" t="s">
        <v>799</v>
      </c>
      <c r="F33" s="123">
        <v>1116</v>
      </c>
      <c r="G33" s="123">
        <v>649</v>
      </c>
      <c r="H33" s="105">
        <v>0.19999999999999993</v>
      </c>
      <c r="I33" s="106">
        <v>0.53476702508960572</v>
      </c>
      <c r="J33" s="123">
        <v>519.20000000000005</v>
      </c>
      <c r="K33" s="123">
        <f t="shared" si="0"/>
        <v>538.58921248000013</v>
      </c>
      <c r="L33" s="125">
        <f t="shared" si="1"/>
        <v>79172.614234560024</v>
      </c>
      <c r="M33" s="126">
        <v>147</v>
      </c>
      <c r="N33" s="128">
        <f t="shared" si="2"/>
        <v>882</v>
      </c>
      <c r="O33" s="157">
        <f t="shared" si="3"/>
        <v>37</v>
      </c>
      <c r="P33" s="127"/>
      <c r="Q33" s="104"/>
      <c r="R33" s="104">
        <v>169</v>
      </c>
      <c r="S33" s="104">
        <v>108</v>
      </c>
      <c r="T33" s="104"/>
    </row>
    <row r="34" spans="1:20" ht="23.25" customHeight="1">
      <c r="A34" s="134" t="s">
        <v>919</v>
      </c>
      <c r="B34" s="101">
        <v>76</v>
      </c>
      <c r="C34" s="102" t="s">
        <v>506</v>
      </c>
      <c r="D34" s="103" t="s">
        <v>811</v>
      </c>
      <c r="E34" s="102" t="s">
        <v>799</v>
      </c>
      <c r="F34" s="123">
        <v>734</v>
      </c>
      <c r="G34" s="123">
        <v>272</v>
      </c>
      <c r="H34" s="105">
        <v>0.2</v>
      </c>
      <c r="I34" s="106">
        <v>0.70354223433242513</v>
      </c>
      <c r="J34" s="123">
        <v>217.6</v>
      </c>
      <c r="K34" s="123">
        <f t="shared" si="0"/>
        <v>225.72614143999999</v>
      </c>
      <c r="L34" s="125">
        <f t="shared" si="1"/>
        <v>21218.257295359999</v>
      </c>
      <c r="M34" s="126">
        <v>94</v>
      </c>
      <c r="N34" s="128">
        <f t="shared" si="2"/>
        <v>564</v>
      </c>
      <c r="O34" s="157">
        <f t="shared" si="3"/>
        <v>24</v>
      </c>
      <c r="P34" s="127"/>
      <c r="Q34" s="104"/>
      <c r="R34" s="104">
        <v>105</v>
      </c>
      <c r="S34" s="104">
        <v>104</v>
      </c>
      <c r="T34" s="104"/>
    </row>
    <row r="35" spans="1:20" ht="23.25" customHeight="1">
      <c r="A35" s="134" t="s">
        <v>919</v>
      </c>
      <c r="B35" s="101">
        <v>77</v>
      </c>
      <c r="C35" s="102" t="s">
        <v>507</v>
      </c>
      <c r="D35" s="103" t="s">
        <v>812</v>
      </c>
      <c r="E35" s="102" t="s">
        <v>799</v>
      </c>
      <c r="F35" s="123">
        <v>433</v>
      </c>
      <c r="G35" s="123">
        <v>272</v>
      </c>
      <c r="H35" s="105">
        <v>0.2</v>
      </c>
      <c r="I35" s="106">
        <v>0.49745958429561199</v>
      </c>
      <c r="J35" s="123">
        <v>217.6</v>
      </c>
      <c r="K35" s="123">
        <f t="shared" ref="K35:K69" si="4">+J35*(1+$K$1)</f>
        <v>225.72614143999999</v>
      </c>
      <c r="L35" s="125">
        <f t="shared" ref="L35:L69" si="5">+K35*M35</f>
        <v>29570.124528640001</v>
      </c>
      <c r="M35" s="126">
        <v>131</v>
      </c>
      <c r="N35" s="128">
        <f t="shared" si="2"/>
        <v>786</v>
      </c>
      <c r="O35" s="157">
        <f t="shared" si="3"/>
        <v>33</v>
      </c>
      <c r="P35" s="127"/>
      <c r="Q35" s="104"/>
      <c r="R35" s="104">
        <v>174</v>
      </c>
      <c r="S35" s="104">
        <v>133</v>
      </c>
      <c r="T35" s="104"/>
    </row>
    <row r="36" spans="1:20" ht="23.25" customHeight="1">
      <c r="A36" s="134" t="s">
        <v>919</v>
      </c>
      <c r="B36" s="101">
        <v>78</v>
      </c>
      <c r="C36" s="108" t="s">
        <v>508</v>
      </c>
      <c r="D36" s="103" t="s">
        <v>813</v>
      </c>
      <c r="E36" s="102" t="s">
        <v>807</v>
      </c>
      <c r="F36" s="123">
        <v>1676</v>
      </c>
      <c r="G36" s="123">
        <v>228</v>
      </c>
      <c r="H36" s="105">
        <v>0.19999999999999998</v>
      </c>
      <c r="I36" s="106">
        <v>0.89116945107398571</v>
      </c>
      <c r="J36" s="123">
        <v>182.4</v>
      </c>
      <c r="K36" s="123">
        <f t="shared" si="4"/>
        <v>189.21161856000001</v>
      </c>
      <c r="L36" s="125">
        <f t="shared" si="5"/>
        <v>26678.838216960001</v>
      </c>
      <c r="M36" s="126">
        <v>141</v>
      </c>
      <c r="N36" s="128">
        <f t="shared" si="2"/>
        <v>846</v>
      </c>
      <c r="O36" s="157">
        <f t="shared" si="3"/>
        <v>35</v>
      </c>
      <c r="P36" s="127"/>
      <c r="Q36" s="104"/>
      <c r="R36" s="104">
        <v>158</v>
      </c>
      <c r="S36" s="104">
        <v>90</v>
      </c>
      <c r="T36" s="104"/>
    </row>
    <row r="37" spans="1:20" ht="23.25" customHeight="1">
      <c r="A37" s="134" t="s">
        <v>919</v>
      </c>
      <c r="B37" s="101">
        <v>79</v>
      </c>
      <c r="C37" s="108" t="s">
        <v>509</v>
      </c>
      <c r="D37" s="103" t="s">
        <v>814</v>
      </c>
      <c r="E37" s="102" t="s">
        <v>799</v>
      </c>
      <c r="F37" s="123">
        <v>471</v>
      </c>
      <c r="G37" s="123">
        <v>209</v>
      </c>
      <c r="H37" s="105">
        <v>0.20000000000000007</v>
      </c>
      <c r="I37" s="106">
        <v>0.64501061571125273</v>
      </c>
      <c r="J37" s="123">
        <v>167.2</v>
      </c>
      <c r="K37" s="123">
        <f t="shared" si="4"/>
        <v>173.44398368</v>
      </c>
      <c r="L37" s="125">
        <f t="shared" si="5"/>
        <v>17170.954384320001</v>
      </c>
      <c r="M37" s="126">
        <v>99</v>
      </c>
      <c r="N37" s="128">
        <f t="shared" si="2"/>
        <v>594</v>
      </c>
      <c r="O37" s="157">
        <f t="shared" si="3"/>
        <v>25</v>
      </c>
      <c r="P37" s="127"/>
      <c r="Q37" s="104"/>
      <c r="R37" s="104">
        <v>54</v>
      </c>
      <c r="S37" s="104">
        <v>26</v>
      </c>
      <c r="T37" s="104"/>
    </row>
    <row r="38" spans="1:20" ht="23.25" customHeight="1">
      <c r="A38" s="134" t="s">
        <v>919</v>
      </c>
      <c r="B38" s="101">
        <v>82</v>
      </c>
      <c r="C38" s="102" t="s">
        <v>512</v>
      </c>
      <c r="D38" s="103" t="s">
        <v>815</v>
      </c>
      <c r="E38" s="102" t="s">
        <v>799</v>
      </c>
      <c r="F38" s="123">
        <v>4330</v>
      </c>
      <c r="G38" s="123">
        <v>2180</v>
      </c>
      <c r="H38" s="105">
        <v>0.25</v>
      </c>
      <c r="I38" s="106">
        <v>0.62240184757505768</v>
      </c>
      <c r="J38" s="123">
        <v>1635</v>
      </c>
      <c r="K38" s="123">
        <f t="shared" si="4"/>
        <v>1696.058094</v>
      </c>
      <c r="L38" s="125">
        <f t="shared" si="5"/>
        <v>167909.75130599999</v>
      </c>
      <c r="M38" s="126">
        <v>99</v>
      </c>
      <c r="N38" s="128">
        <f t="shared" si="2"/>
        <v>594</v>
      </c>
      <c r="O38" s="157">
        <f t="shared" si="3"/>
        <v>25</v>
      </c>
      <c r="P38" s="127"/>
      <c r="Q38" s="104"/>
      <c r="R38" s="104">
        <v>140</v>
      </c>
      <c r="S38" s="104">
        <v>87</v>
      </c>
      <c r="T38" s="104"/>
    </row>
    <row r="39" spans="1:20" ht="23.25" customHeight="1">
      <c r="A39" s="134" t="s">
        <v>919</v>
      </c>
      <c r="B39" s="101">
        <v>83</v>
      </c>
      <c r="C39" s="102" t="s">
        <v>513</v>
      </c>
      <c r="D39" s="103" t="s">
        <v>816</v>
      </c>
      <c r="E39" s="102" t="s">
        <v>799</v>
      </c>
      <c r="F39" s="123">
        <v>4319</v>
      </c>
      <c r="G39" s="123">
        <v>2180</v>
      </c>
      <c r="H39" s="105">
        <v>0.2</v>
      </c>
      <c r="I39" s="106">
        <v>0.59620282472794628</v>
      </c>
      <c r="J39" s="123">
        <v>1744</v>
      </c>
      <c r="K39" s="123">
        <f t="shared" si="4"/>
        <v>1809.1286336000001</v>
      </c>
      <c r="L39" s="125">
        <f t="shared" si="5"/>
        <v>75983.402611199999</v>
      </c>
      <c r="M39" s="126">
        <v>42</v>
      </c>
      <c r="N39" s="128">
        <f t="shared" si="2"/>
        <v>252</v>
      </c>
      <c r="O39" s="157">
        <f t="shared" si="3"/>
        <v>11</v>
      </c>
      <c r="P39" s="127"/>
      <c r="Q39" s="104"/>
      <c r="R39" s="104"/>
      <c r="S39" s="104">
        <v>2</v>
      </c>
      <c r="T39" s="104"/>
    </row>
    <row r="40" spans="1:20" ht="23.25" customHeight="1">
      <c r="A40" s="134" t="s">
        <v>919</v>
      </c>
      <c r="B40" s="101">
        <v>84</v>
      </c>
      <c r="C40" s="109" t="s">
        <v>514</v>
      </c>
      <c r="D40" s="103" t="s">
        <v>817</v>
      </c>
      <c r="E40" s="102" t="s">
        <v>799</v>
      </c>
      <c r="F40" s="123">
        <v>5280</v>
      </c>
      <c r="G40" s="123">
        <v>2617</v>
      </c>
      <c r="H40" s="105">
        <v>0.20000000000000004</v>
      </c>
      <c r="I40" s="106">
        <v>0.60348484848484851</v>
      </c>
      <c r="J40" s="123">
        <v>2093.6</v>
      </c>
      <c r="K40" s="123">
        <f t="shared" si="4"/>
        <v>2171.7842358399998</v>
      </c>
      <c r="L40" s="125">
        <f t="shared" si="5"/>
        <v>119448.13297119999</v>
      </c>
      <c r="M40" s="126">
        <v>55</v>
      </c>
      <c r="N40" s="128">
        <f t="shared" si="2"/>
        <v>330</v>
      </c>
      <c r="O40" s="157">
        <f t="shared" si="3"/>
        <v>14</v>
      </c>
      <c r="P40" s="127"/>
      <c r="Q40" s="104"/>
      <c r="R40" s="104">
        <v>31</v>
      </c>
      <c r="S40" s="104">
        <v>26</v>
      </c>
      <c r="T40" s="104"/>
    </row>
    <row r="41" spans="1:20" ht="23.25" customHeight="1">
      <c r="A41" s="134" t="s">
        <v>919</v>
      </c>
      <c r="B41" s="101">
        <v>85</v>
      </c>
      <c r="C41" s="102" t="s">
        <v>515</v>
      </c>
      <c r="D41" s="103" t="s">
        <v>818</v>
      </c>
      <c r="E41" s="102" t="s">
        <v>799</v>
      </c>
      <c r="F41" s="123">
        <v>5262</v>
      </c>
      <c r="G41" s="123">
        <v>2617</v>
      </c>
      <c r="H41" s="105">
        <v>0.20000000000000004</v>
      </c>
      <c r="I41" s="106">
        <v>0.60212846826301791</v>
      </c>
      <c r="J41" s="123">
        <v>2093.6</v>
      </c>
      <c r="K41" s="123">
        <f t="shared" si="4"/>
        <v>2171.7842358399998</v>
      </c>
      <c r="L41" s="125">
        <f t="shared" si="5"/>
        <v>69497.095546879995</v>
      </c>
      <c r="M41" s="126">
        <v>32</v>
      </c>
      <c r="N41" s="128">
        <f t="shared" si="2"/>
        <v>192</v>
      </c>
      <c r="O41" s="157">
        <f t="shared" si="3"/>
        <v>8</v>
      </c>
      <c r="P41" s="127"/>
      <c r="Q41" s="104"/>
      <c r="R41" s="104">
        <v>17</v>
      </c>
      <c r="S41" s="104">
        <v>16</v>
      </c>
      <c r="T41" s="104"/>
    </row>
    <row r="42" spans="1:20" ht="23.25" customHeight="1">
      <c r="A42" s="134" t="s">
        <v>919</v>
      </c>
      <c r="B42" s="101">
        <v>87</v>
      </c>
      <c r="C42" s="102" t="s">
        <v>518</v>
      </c>
      <c r="D42" s="103" t="s">
        <v>819</v>
      </c>
      <c r="E42" s="102" t="s">
        <v>799</v>
      </c>
      <c r="F42" s="123">
        <v>9752</v>
      </c>
      <c r="G42" s="123">
        <v>3337</v>
      </c>
      <c r="H42" s="105">
        <v>0.25</v>
      </c>
      <c r="I42" s="106">
        <v>0.74336033634126331</v>
      </c>
      <c r="J42" s="123">
        <v>2502.75</v>
      </c>
      <c r="K42" s="123">
        <f t="shared" si="4"/>
        <v>2596.2136971</v>
      </c>
      <c r="L42" s="125">
        <f t="shared" si="5"/>
        <v>163561.4629173</v>
      </c>
      <c r="M42" s="126">
        <v>63</v>
      </c>
      <c r="N42" s="128">
        <f t="shared" si="2"/>
        <v>378</v>
      </c>
      <c r="O42" s="157">
        <f t="shared" si="3"/>
        <v>16</v>
      </c>
      <c r="P42" s="127"/>
      <c r="Q42" s="104"/>
      <c r="R42" s="104">
        <v>50</v>
      </c>
      <c r="S42" s="104">
        <v>49</v>
      </c>
      <c r="T42" s="104"/>
    </row>
    <row r="43" spans="1:20" ht="23.25" customHeight="1">
      <c r="A43" s="134" t="s">
        <v>919</v>
      </c>
      <c r="B43" s="101">
        <v>90</v>
      </c>
      <c r="C43" s="102" t="s">
        <v>521</v>
      </c>
      <c r="D43" s="103" t="s">
        <v>820</v>
      </c>
      <c r="E43" s="102" t="s">
        <v>799</v>
      </c>
      <c r="F43" s="123">
        <v>15533</v>
      </c>
      <c r="G43" s="123">
        <v>2980</v>
      </c>
      <c r="H43" s="105">
        <v>0.2</v>
      </c>
      <c r="I43" s="106">
        <v>0.84652031159466945</v>
      </c>
      <c r="J43" s="123">
        <v>2384</v>
      </c>
      <c r="K43" s="123">
        <f t="shared" si="4"/>
        <v>2473.0290496000002</v>
      </c>
      <c r="L43" s="125">
        <f t="shared" si="5"/>
        <v>108813.27818240001</v>
      </c>
      <c r="M43" s="126">
        <v>44</v>
      </c>
      <c r="N43" s="128">
        <f t="shared" si="2"/>
        <v>264</v>
      </c>
      <c r="O43" s="157">
        <f t="shared" si="3"/>
        <v>11</v>
      </c>
      <c r="P43" s="127"/>
      <c r="Q43" s="104"/>
      <c r="R43" s="104">
        <f>12+7</f>
        <v>19</v>
      </c>
      <c r="S43" s="104">
        <v>13</v>
      </c>
      <c r="T43" s="104"/>
    </row>
    <row r="44" spans="1:20" ht="23.25" customHeight="1">
      <c r="A44" s="134" t="s">
        <v>919</v>
      </c>
      <c r="B44" s="101">
        <v>91</v>
      </c>
      <c r="C44" s="102" t="s">
        <v>522</v>
      </c>
      <c r="D44" s="103" t="s">
        <v>821</v>
      </c>
      <c r="E44" s="102" t="s">
        <v>799</v>
      </c>
      <c r="F44" s="123">
        <v>20146</v>
      </c>
      <c r="G44" s="123">
        <v>3314</v>
      </c>
      <c r="H44" s="105">
        <v>0.20000000000000007</v>
      </c>
      <c r="I44" s="106">
        <v>0.8684006750719746</v>
      </c>
      <c r="J44" s="123">
        <v>2651.2</v>
      </c>
      <c r="K44" s="123">
        <f t="shared" si="4"/>
        <v>2750.2074732800002</v>
      </c>
      <c r="L44" s="125">
        <f t="shared" si="5"/>
        <v>44003.319572480003</v>
      </c>
      <c r="M44" s="126">
        <v>16</v>
      </c>
      <c r="N44" s="128">
        <f t="shared" si="2"/>
        <v>96</v>
      </c>
      <c r="O44" s="157">
        <f t="shared" si="3"/>
        <v>4</v>
      </c>
      <c r="P44" s="127"/>
      <c r="Q44" s="104"/>
      <c r="R44" s="104">
        <v>12</v>
      </c>
      <c r="S44" s="104">
        <v>0</v>
      </c>
      <c r="T44" s="104"/>
    </row>
    <row r="45" spans="1:20" ht="23.25" customHeight="1">
      <c r="A45" s="134" t="s">
        <v>919</v>
      </c>
      <c r="B45" s="101">
        <v>92</v>
      </c>
      <c r="C45" s="102" t="s">
        <v>525</v>
      </c>
      <c r="D45" s="103" t="s">
        <v>822</v>
      </c>
      <c r="E45" s="102" t="s">
        <v>799</v>
      </c>
      <c r="F45" s="123">
        <v>5900</v>
      </c>
      <c r="G45" s="123">
        <v>4387</v>
      </c>
      <c r="H45" s="105">
        <v>0.2</v>
      </c>
      <c r="I45" s="106">
        <v>0.40515254237288134</v>
      </c>
      <c r="J45" s="123">
        <v>3509.6</v>
      </c>
      <c r="K45" s="123">
        <f t="shared" si="4"/>
        <v>3640.66390624</v>
      </c>
      <c r="L45" s="125">
        <f t="shared" si="5"/>
        <v>25484.647343680001</v>
      </c>
      <c r="M45" s="126">
        <v>7</v>
      </c>
      <c r="N45" s="128">
        <f t="shared" si="2"/>
        <v>42</v>
      </c>
      <c r="O45" s="157">
        <f t="shared" si="3"/>
        <v>2</v>
      </c>
      <c r="P45" s="127"/>
      <c r="Q45" s="104"/>
      <c r="R45" s="104">
        <v>7</v>
      </c>
      <c r="S45" s="104">
        <v>14</v>
      </c>
      <c r="T45" s="104"/>
    </row>
    <row r="46" spans="1:20" ht="23.25" customHeight="1">
      <c r="A46" s="134" t="s">
        <v>919</v>
      </c>
      <c r="B46" s="101">
        <v>93</v>
      </c>
      <c r="C46" s="102" t="s">
        <v>526</v>
      </c>
      <c r="D46" s="103" t="s">
        <v>823</v>
      </c>
      <c r="E46" s="102" t="s">
        <v>799</v>
      </c>
      <c r="F46" s="123">
        <v>7339</v>
      </c>
      <c r="G46" s="123">
        <v>5750</v>
      </c>
      <c r="H46" s="105">
        <v>0.25</v>
      </c>
      <c r="I46" s="106">
        <v>0.41238588363537265</v>
      </c>
      <c r="J46" s="123">
        <v>4312.5</v>
      </c>
      <c r="K46" s="123">
        <f t="shared" si="4"/>
        <v>4473.5477250000004</v>
      </c>
      <c r="L46" s="125">
        <f t="shared" si="5"/>
        <v>295254.14985000005</v>
      </c>
      <c r="M46" s="126">
        <v>66</v>
      </c>
      <c r="N46" s="128">
        <f t="shared" si="2"/>
        <v>396</v>
      </c>
      <c r="O46" s="157">
        <f t="shared" si="3"/>
        <v>17</v>
      </c>
      <c r="P46" s="127"/>
      <c r="Q46" s="104"/>
      <c r="R46" s="104">
        <v>17</v>
      </c>
      <c r="S46" s="104">
        <v>25</v>
      </c>
      <c r="T46" s="104"/>
    </row>
    <row r="47" spans="1:20" ht="23.25" customHeight="1">
      <c r="A47" s="134" t="s">
        <v>919</v>
      </c>
      <c r="B47" s="101">
        <v>94</v>
      </c>
      <c r="C47" s="102" t="s">
        <v>527</v>
      </c>
      <c r="D47" s="103" t="s">
        <v>824</v>
      </c>
      <c r="E47" s="102" t="s">
        <v>799</v>
      </c>
      <c r="F47" s="123">
        <v>10429</v>
      </c>
      <c r="G47" s="123">
        <v>5933</v>
      </c>
      <c r="H47" s="105">
        <v>0.25</v>
      </c>
      <c r="I47" s="106">
        <v>0.57332917825294849</v>
      </c>
      <c r="J47" s="123">
        <v>4449.75</v>
      </c>
      <c r="K47" s="123">
        <f t="shared" si="4"/>
        <v>4615.9232439000007</v>
      </c>
      <c r="L47" s="125">
        <f t="shared" si="5"/>
        <v>567758.55899970012</v>
      </c>
      <c r="M47" s="126">
        <v>123</v>
      </c>
      <c r="N47" s="128">
        <f t="shared" si="2"/>
        <v>738</v>
      </c>
      <c r="O47" s="157">
        <f t="shared" si="3"/>
        <v>31</v>
      </c>
      <c r="P47" s="127"/>
      <c r="Q47" s="104"/>
      <c r="R47" s="104">
        <v>154</v>
      </c>
      <c r="S47" s="104">
        <v>138</v>
      </c>
      <c r="T47" s="104"/>
    </row>
    <row r="48" spans="1:20" ht="23.25" customHeight="1">
      <c r="A48" s="134" t="s">
        <v>919</v>
      </c>
      <c r="B48" s="101">
        <v>96</v>
      </c>
      <c r="C48" s="102" t="s">
        <v>528</v>
      </c>
      <c r="D48" s="103" t="s">
        <v>819</v>
      </c>
      <c r="E48" s="102" t="s">
        <v>799</v>
      </c>
      <c r="F48" s="123">
        <v>9752</v>
      </c>
      <c r="G48" s="123">
        <v>3337</v>
      </c>
      <c r="H48" s="105">
        <v>0.20000000000000004</v>
      </c>
      <c r="I48" s="106">
        <v>0.72625102543068087</v>
      </c>
      <c r="J48" s="123">
        <v>2669.6</v>
      </c>
      <c r="K48" s="123">
        <f t="shared" si="4"/>
        <v>2769.2946102400001</v>
      </c>
      <c r="L48" s="125">
        <f t="shared" si="5"/>
        <v>113541.07901984001</v>
      </c>
      <c r="M48" s="126">
        <v>41</v>
      </c>
      <c r="N48" s="128">
        <f t="shared" si="2"/>
        <v>246</v>
      </c>
      <c r="O48" s="157">
        <f t="shared" si="3"/>
        <v>10</v>
      </c>
      <c r="P48" s="127"/>
      <c r="Q48" s="104"/>
      <c r="R48" s="104">
        <v>22</v>
      </c>
      <c r="S48" s="104">
        <v>38</v>
      </c>
      <c r="T48" s="104"/>
    </row>
    <row r="49" spans="1:20" ht="23.25" customHeight="1">
      <c r="A49" s="134" t="s">
        <v>919</v>
      </c>
      <c r="B49" s="101">
        <v>98</v>
      </c>
      <c r="C49" s="102" t="s">
        <v>529</v>
      </c>
      <c r="D49" s="103" t="s">
        <v>825</v>
      </c>
      <c r="E49" s="102" t="s">
        <v>799</v>
      </c>
      <c r="F49" s="123">
        <v>6630</v>
      </c>
      <c r="G49" s="123">
        <v>2904</v>
      </c>
      <c r="H49" s="105">
        <v>0.20000000000000007</v>
      </c>
      <c r="I49" s="106">
        <v>0.64959276018099543</v>
      </c>
      <c r="J49" s="123">
        <v>2323.1999999999998</v>
      </c>
      <c r="K49" s="123">
        <f t="shared" si="4"/>
        <v>2409.95851008</v>
      </c>
      <c r="L49" s="125">
        <f t="shared" si="5"/>
        <v>113268.04997376</v>
      </c>
      <c r="M49" s="126">
        <v>47</v>
      </c>
      <c r="N49" s="128">
        <f t="shared" si="2"/>
        <v>282</v>
      </c>
      <c r="O49" s="157">
        <f t="shared" si="3"/>
        <v>12</v>
      </c>
      <c r="P49" s="127"/>
      <c r="Q49" s="104"/>
      <c r="R49" s="104">
        <v>28</v>
      </c>
      <c r="S49" s="104">
        <v>42</v>
      </c>
      <c r="T49" s="104"/>
    </row>
    <row r="50" spans="1:20" ht="23.25" customHeight="1">
      <c r="A50" s="134" t="s">
        <v>919</v>
      </c>
      <c r="B50" s="101">
        <v>99</v>
      </c>
      <c r="C50" s="102" t="s">
        <v>530</v>
      </c>
      <c r="D50" s="103" t="s">
        <v>826</v>
      </c>
      <c r="E50" s="102" t="s">
        <v>799</v>
      </c>
      <c r="F50" s="123">
        <v>22396</v>
      </c>
      <c r="G50" s="123">
        <v>13170</v>
      </c>
      <c r="H50" s="105">
        <v>0.25</v>
      </c>
      <c r="I50" s="106">
        <v>0.55896142168244323</v>
      </c>
      <c r="J50" s="123">
        <v>9877.5</v>
      </c>
      <c r="K50" s="123">
        <f t="shared" si="4"/>
        <v>10246.369311</v>
      </c>
      <c r="L50" s="125">
        <f t="shared" si="5"/>
        <v>932419.60730100004</v>
      </c>
      <c r="M50" s="126">
        <v>91</v>
      </c>
      <c r="N50" s="128">
        <f t="shared" si="2"/>
        <v>546</v>
      </c>
      <c r="O50" s="157">
        <f t="shared" si="3"/>
        <v>23</v>
      </c>
      <c r="P50" s="127"/>
      <c r="Q50" s="104"/>
      <c r="R50" s="104">
        <v>115</v>
      </c>
      <c r="S50" s="104">
        <v>82</v>
      </c>
      <c r="T50" s="104"/>
    </row>
    <row r="51" spans="1:20" ht="23.25" customHeight="1">
      <c r="A51" s="134" t="s">
        <v>919</v>
      </c>
      <c r="B51" s="101">
        <v>100</v>
      </c>
      <c r="C51" s="102" t="s">
        <v>531</v>
      </c>
      <c r="D51" s="103" t="s">
        <v>827</v>
      </c>
      <c r="E51" s="102" t="s">
        <v>799</v>
      </c>
      <c r="F51" s="123">
        <v>22396</v>
      </c>
      <c r="G51" s="123">
        <v>13170</v>
      </c>
      <c r="H51" s="105">
        <v>0.25</v>
      </c>
      <c r="I51" s="106">
        <v>0.55896142168244323</v>
      </c>
      <c r="J51" s="123">
        <v>9877.5</v>
      </c>
      <c r="K51" s="123">
        <f t="shared" si="4"/>
        <v>10246.369311</v>
      </c>
      <c r="L51" s="125">
        <f t="shared" si="5"/>
        <v>1086115.1469660001</v>
      </c>
      <c r="M51" s="126">
        <v>106</v>
      </c>
      <c r="N51" s="128">
        <f t="shared" si="2"/>
        <v>636</v>
      </c>
      <c r="O51" s="157">
        <f t="shared" si="3"/>
        <v>27</v>
      </c>
      <c r="P51" s="127"/>
      <c r="Q51" s="104"/>
      <c r="R51" s="104">
        <v>97</v>
      </c>
      <c r="S51" s="104">
        <v>74</v>
      </c>
      <c r="T51" s="104"/>
    </row>
    <row r="52" spans="1:20" ht="23.25" customHeight="1">
      <c r="A52" s="134" t="s">
        <v>919</v>
      </c>
      <c r="B52" s="101">
        <v>101</v>
      </c>
      <c r="C52" s="102" t="s">
        <v>532</v>
      </c>
      <c r="D52" s="103" t="s">
        <v>828</v>
      </c>
      <c r="E52" s="102" t="s">
        <v>799</v>
      </c>
      <c r="F52" s="123">
        <v>36887</v>
      </c>
      <c r="G52" s="123">
        <v>16189</v>
      </c>
      <c r="H52" s="105">
        <v>0.19999999999999996</v>
      </c>
      <c r="I52" s="106">
        <v>0.64889527475804476</v>
      </c>
      <c r="J52" s="123">
        <v>12951.2</v>
      </c>
      <c r="K52" s="123">
        <f t="shared" si="4"/>
        <v>13434.854793280001</v>
      </c>
      <c r="L52" s="125">
        <f t="shared" si="5"/>
        <v>26869.709586560002</v>
      </c>
      <c r="M52" s="126">
        <v>2</v>
      </c>
      <c r="N52" s="128">
        <f t="shared" si="2"/>
        <v>12</v>
      </c>
      <c r="O52" s="157">
        <f t="shared" si="3"/>
        <v>1</v>
      </c>
      <c r="P52" s="127"/>
      <c r="Q52" s="104"/>
      <c r="R52" s="104">
        <v>17</v>
      </c>
      <c r="S52" s="104">
        <v>21</v>
      </c>
      <c r="T52" s="104"/>
    </row>
    <row r="53" spans="1:20" ht="23.25" customHeight="1">
      <c r="A53" s="134" t="s">
        <v>919</v>
      </c>
      <c r="B53" s="101">
        <v>102</v>
      </c>
      <c r="C53" s="102" t="s">
        <v>533</v>
      </c>
      <c r="D53" s="103" t="s">
        <v>829</v>
      </c>
      <c r="E53" s="102" t="s">
        <v>799</v>
      </c>
      <c r="F53" s="123">
        <v>36887</v>
      </c>
      <c r="G53" s="123">
        <v>16189</v>
      </c>
      <c r="H53" s="105">
        <v>0.19999999999999996</v>
      </c>
      <c r="I53" s="106">
        <v>0.64889527475804476</v>
      </c>
      <c r="J53" s="123">
        <v>12951.2</v>
      </c>
      <c r="K53" s="123">
        <f t="shared" si="4"/>
        <v>13434.854793280001</v>
      </c>
      <c r="L53" s="125">
        <f t="shared" si="5"/>
        <v>26869.709586560002</v>
      </c>
      <c r="M53" s="126">
        <v>2</v>
      </c>
      <c r="N53" s="128">
        <f t="shared" si="2"/>
        <v>12</v>
      </c>
      <c r="O53" s="157">
        <f t="shared" si="3"/>
        <v>1</v>
      </c>
      <c r="P53" s="127"/>
      <c r="Q53" s="104"/>
      <c r="R53" s="104">
        <v>10</v>
      </c>
      <c r="S53" s="104">
        <v>10</v>
      </c>
      <c r="T53" s="104"/>
    </row>
    <row r="54" spans="1:20" ht="23.25" customHeight="1">
      <c r="A54" s="134" t="s">
        <v>919</v>
      </c>
      <c r="B54" s="101">
        <v>105</v>
      </c>
      <c r="C54" s="102" t="s">
        <v>534</v>
      </c>
      <c r="D54" s="103" t="s">
        <v>830</v>
      </c>
      <c r="E54" s="102" t="s">
        <v>799</v>
      </c>
      <c r="F54" s="123">
        <v>105660</v>
      </c>
      <c r="G54" s="123">
        <v>786</v>
      </c>
      <c r="H54" s="105">
        <v>0.20000000000000007</v>
      </c>
      <c r="I54" s="106">
        <v>0.99404883588869963</v>
      </c>
      <c r="J54" s="123">
        <v>628.79999999999995</v>
      </c>
      <c r="K54" s="123">
        <f t="shared" si="4"/>
        <v>652.28215871999998</v>
      </c>
      <c r="L54" s="125">
        <f t="shared" si="5"/>
        <v>1304.56431744</v>
      </c>
      <c r="M54" s="126">
        <v>2</v>
      </c>
      <c r="N54" s="128">
        <f t="shared" si="2"/>
        <v>12</v>
      </c>
      <c r="O54" s="157">
        <f t="shared" si="3"/>
        <v>1</v>
      </c>
      <c r="P54" s="127"/>
      <c r="Q54" s="104"/>
      <c r="S54" s="104">
        <v>3</v>
      </c>
      <c r="T54" s="104"/>
    </row>
    <row r="55" spans="1:20" ht="23.25" customHeight="1">
      <c r="A55" s="134" t="s">
        <v>919</v>
      </c>
      <c r="B55" s="101">
        <v>106</v>
      </c>
      <c r="C55" s="110" t="s">
        <v>537</v>
      </c>
      <c r="D55" s="111" t="s">
        <v>925</v>
      </c>
      <c r="E55" s="102" t="s">
        <v>922</v>
      </c>
      <c r="F55" s="123">
        <v>1309</v>
      </c>
      <c r="G55" s="123">
        <v>597</v>
      </c>
      <c r="H55" s="105">
        <v>0.25</v>
      </c>
      <c r="I55" s="106">
        <v>0.65794499618029034</v>
      </c>
      <c r="J55" s="123">
        <v>447.75</v>
      </c>
      <c r="K55" s="123">
        <f t="shared" si="4"/>
        <v>464.47095510000003</v>
      </c>
      <c r="L55" s="125">
        <f t="shared" si="5"/>
        <v>216443.4650766</v>
      </c>
      <c r="M55" s="150">
        <v>466</v>
      </c>
      <c r="N55" s="128">
        <f t="shared" si="2"/>
        <v>2796</v>
      </c>
      <c r="O55" s="157">
        <f t="shared" si="3"/>
        <v>117</v>
      </c>
      <c r="P55" s="127"/>
      <c r="Q55" s="104"/>
      <c r="R55" s="104">
        <v>389</v>
      </c>
      <c r="S55" s="104">
        <v>379</v>
      </c>
      <c r="T55" s="104"/>
    </row>
    <row r="56" spans="1:20" ht="38.25" customHeight="1">
      <c r="A56" s="134" t="s">
        <v>919</v>
      </c>
      <c r="B56" s="101">
        <v>107</v>
      </c>
      <c r="C56" s="151" t="s">
        <v>538</v>
      </c>
      <c r="D56" s="152" t="s">
        <v>935</v>
      </c>
      <c r="E56" s="102" t="s">
        <v>936</v>
      </c>
      <c r="F56" s="123">
        <v>1345</v>
      </c>
      <c r="G56" s="123">
        <v>694</v>
      </c>
      <c r="H56" s="105">
        <v>0.19999999999999993</v>
      </c>
      <c r="I56" s="106">
        <v>0.5872118959107806</v>
      </c>
      <c r="J56" s="123">
        <v>555.20000000000005</v>
      </c>
      <c r="K56" s="123">
        <f t="shared" si="4"/>
        <v>575.93361088000006</v>
      </c>
      <c r="L56" s="125">
        <f t="shared" si="5"/>
        <v>5183.4024979200003</v>
      </c>
      <c r="M56" s="126">
        <v>9</v>
      </c>
      <c r="N56" s="128">
        <f t="shared" si="2"/>
        <v>54</v>
      </c>
      <c r="O56" s="157">
        <f t="shared" si="3"/>
        <v>2</v>
      </c>
      <c r="P56" s="127"/>
      <c r="Q56" s="104"/>
      <c r="R56" s="104"/>
      <c r="S56" s="104">
        <v>0</v>
      </c>
      <c r="T56" s="104"/>
    </row>
    <row r="57" spans="1:20" ht="28.5" customHeight="1">
      <c r="A57" s="134" t="s">
        <v>919</v>
      </c>
      <c r="B57" s="101">
        <v>112</v>
      </c>
      <c r="C57" s="110" t="s">
        <v>539</v>
      </c>
      <c r="D57" s="112" t="s">
        <v>926</v>
      </c>
      <c r="E57" s="102" t="s">
        <v>922</v>
      </c>
      <c r="F57" s="123">
        <v>3551</v>
      </c>
      <c r="G57" s="123">
        <v>1335</v>
      </c>
      <c r="H57" s="105">
        <v>0.25</v>
      </c>
      <c r="I57" s="106">
        <v>0.71803717262742883</v>
      </c>
      <c r="J57" s="123">
        <v>1001.25</v>
      </c>
      <c r="K57" s="123">
        <f t="shared" si="4"/>
        <v>1038.6410805</v>
      </c>
      <c r="L57" s="125">
        <f t="shared" si="5"/>
        <v>255505.70580300002</v>
      </c>
      <c r="M57" s="126">
        <v>246</v>
      </c>
      <c r="N57" s="128">
        <f t="shared" si="2"/>
        <v>1476</v>
      </c>
      <c r="O57" s="157">
        <f t="shared" si="3"/>
        <v>62</v>
      </c>
      <c r="P57" s="127"/>
      <c r="Q57" s="104"/>
      <c r="R57" s="104">
        <v>270</v>
      </c>
      <c r="S57" s="104">
        <v>207</v>
      </c>
      <c r="T57" s="104"/>
    </row>
    <row r="58" spans="1:20" ht="28.5" customHeight="1">
      <c r="A58" s="134" t="s">
        <v>919</v>
      </c>
      <c r="B58" s="101">
        <v>118</v>
      </c>
      <c r="C58" s="110" t="s">
        <v>540</v>
      </c>
      <c r="D58" s="112" t="s">
        <v>927</v>
      </c>
      <c r="E58" s="102" t="s">
        <v>922</v>
      </c>
      <c r="F58" s="123">
        <v>4813</v>
      </c>
      <c r="G58" s="123">
        <v>1545</v>
      </c>
      <c r="H58" s="105">
        <v>0.25</v>
      </c>
      <c r="I58" s="106">
        <v>0.75924579264491998</v>
      </c>
      <c r="J58" s="123">
        <v>1158.75</v>
      </c>
      <c r="K58" s="123">
        <f t="shared" si="4"/>
        <v>1202.0228235</v>
      </c>
      <c r="L58" s="125">
        <f t="shared" si="5"/>
        <v>469990.92398849997</v>
      </c>
      <c r="M58" s="150">
        <v>391</v>
      </c>
      <c r="N58" s="128">
        <f t="shared" si="2"/>
        <v>2346</v>
      </c>
      <c r="O58" s="157">
        <f t="shared" si="3"/>
        <v>98</v>
      </c>
      <c r="P58" s="127"/>
      <c r="Q58" s="104"/>
      <c r="R58" s="104">
        <v>406</v>
      </c>
      <c r="S58" s="104">
        <v>359</v>
      </c>
      <c r="T58" s="104"/>
    </row>
    <row r="59" spans="1:20" ht="28.5" customHeight="1">
      <c r="A59" s="134"/>
      <c r="B59" s="145">
        <v>119</v>
      </c>
      <c r="C59" s="146" t="s">
        <v>933</v>
      </c>
      <c r="D59" s="147" t="s">
        <v>934</v>
      </c>
      <c r="E59" s="146" t="s">
        <v>831</v>
      </c>
      <c r="F59" s="123"/>
      <c r="G59" s="123"/>
      <c r="H59" s="105"/>
      <c r="I59" s="106"/>
      <c r="J59" s="123"/>
      <c r="K59" s="155">
        <f>4903*(1+$K$1)</f>
        <v>5086.0995932000005</v>
      </c>
      <c r="L59" s="125">
        <f t="shared" si="5"/>
        <v>1988664.9409412001</v>
      </c>
      <c r="M59" s="150">
        <v>391</v>
      </c>
      <c r="N59" s="128">
        <f t="shared" ref="N59" si="6">+M59*6</f>
        <v>2346</v>
      </c>
      <c r="O59" s="157">
        <f t="shared" si="3"/>
        <v>98</v>
      </c>
      <c r="P59" s="127"/>
      <c r="Q59" s="104"/>
      <c r="R59" s="104"/>
      <c r="S59" s="104">
        <v>359</v>
      </c>
      <c r="T59" s="104"/>
    </row>
    <row r="60" spans="1:20" ht="28.5" customHeight="1">
      <c r="A60" s="134" t="s">
        <v>919</v>
      </c>
      <c r="B60" s="101">
        <v>120</v>
      </c>
      <c r="C60" s="110" t="s">
        <v>541</v>
      </c>
      <c r="D60" s="112" t="s">
        <v>928</v>
      </c>
      <c r="E60" s="102" t="s">
        <v>922</v>
      </c>
      <c r="F60" s="123">
        <v>4903</v>
      </c>
      <c r="G60" s="123">
        <v>1633</v>
      </c>
      <c r="H60" s="105">
        <v>0.25</v>
      </c>
      <c r="I60" s="106">
        <v>0.75020395676116669</v>
      </c>
      <c r="J60" s="123">
        <v>1224.75</v>
      </c>
      <c r="K60" s="123">
        <f t="shared" si="4"/>
        <v>1270.4875539</v>
      </c>
      <c r="L60" s="125">
        <f t="shared" si="5"/>
        <v>692415.71687549993</v>
      </c>
      <c r="M60" s="150">
        <v>545</v>
      </c>
      <c r="N60" s="128">
        <f t="shared" si="2"/>
        <v>3270</v>
      </c>
      <c r="O60" s="157">
        <f t="shared" si="3"/>
        <v>136</v>
      </c>
      <c r="P60" s="127"/>
      <c r="Q60" s="104"/>
      <c r="R60" s="104">
        <v>213</v>
      </c>
      <c r="S60" s="104">
        <v>168</v>
      </c>
      <c r="T60" s="104"/>
    </row>
    <row r="61" spans="1:20" ht="28.5" customHeight="1">
      <c r="A61" s="134"/>
      <c r="B61" s="145">
        <v>124</v>
      </c>
      <c r="C61" s="146" t="s">
        <v>923</v>
      </c>
      <c r="D61" s="147" t="s">
        <v>929</v>
      </c>
      <c r="E61" s="146" t="s">
        <v>831</v>
      </c>
      <c r="F61" s="123"/>
      <c r="G61" s="123"/>
      <c r="H61" s="105"/>
      <c r="I61" s="106"/>
      <c r="J61" s="123"/>
      <c r="K61" s="155">
        <f>6909*(1+$K$1)</f>
        <v>7167.0124596000005</v>
      </c>
      <c r="L61" s="125">
        <f t="shared" si="5"/>
        <v>2802301.8717036</v>
      </c>
      <c r="M61" s="150">
        <v>391</v>
      </c>
      <c r="N61" s="128">
        <f t="shared" si="2"/>
        <v>2346</v>
      </c>
      <c r="O61" s="157">
        <f t="shared" si="3"/>
        <v>98</v>
      </c>
      <c r="P61" s="127"/>
      <c r="Q61" s="104"/>
      <c r="R61" s="104"/>
      <c r="S61" s="104">
        <v>168</v>
      </c>
      <c r="T61" s="104"/>
    </row>
    <row r="62" spans="1:20" ht="28.5" customHeight="1">
      <c r="A62" s="134" t="s">
        <v>919</v>
      </c>
      <c r="B62" s="101">
        <v>125</v>
      </c>
      <c r="C62" s="148" t="s">
        <v>542</v>
      </c>
      <c r="D62" s="149" t="s">
        <v>930</v>
      </c>
      <c r="E62" s="102" t="s">
        <v>922</v>
      </c>
      <c r="F62" s="123">
        <v>7034</v>
      </c>
      <c r="G62" s="123">
        <v>3055</v>
      </c>
      <c r="H62" s="105">
        <v>0.25</v>
      </c>
      <c r="I62" s="106">
        <v>0.67426073357975547</v>
      </c>
      <c r="J62" s="123">
        <v>2291.25</v>
      </c>
      <c r="K62" s="123">
        <f t="shared" si="4"/>
        <v>2376.8153565000002</v>
      </c>
      <c r="L62" s="125">
        <f t="shared" si="5"/>
        <v>972117.48080850008</v>
      </c>
      <c r="M62" s="126">
        <v>409</v>
      </c>
      <c r="N62" s="128">
        <f t="shared" si="2"/>
        <v>2454</v>
      </c>
      <c r="O62" s="157">
        <f t="shared" si="3"/>
        <v>102</v>
      </c>
      <c r="P62" s="127"/>
      <c r="Q62" s="104"/>
      <c r="R62" s="104">
        <v>229</v>
      </c>
      <c r="S62" s="104">
        <v>140</v>
      </c>
      <c r="T62" s="104"/>
    </row>
    <row r="63" spans="1:20" ht="28.5" customHeight="1">
      <c r="A63" s="134"/>
      <c r="B63" s="145">
        <v>126</v>
      </c>
      <c r="C63" s="146" t="s">
        <v>924</v>
      </c>
      <c r="D63" s="147" t="s">
        <v>931</v>
      </c>
      <c r="E63" s="146" t="s">
        <v>831</v>
      </c>
      <c r="F63" s="123"/>
      <c r="G63" s="123"/>
      <c r="H63" s="105"/>
      <c r="I63" s="106"/>
      <c r="J63" s="123"/>
      <c r="K63" s="155">
        <f>7034*(1+$K$1)</f>
        <v>7296.6805096000007</v>
      </c>
      <c r="L63" s="125">
        <f t="shared" si="5"/>
        <v>2853002.0792536004</v>
      </c>
      <c r="M63" s="150">
        <v>391</v>
      </c>
      <c r="N63" s="128">
        <f t="shared" ref="N63" si="7">+M63*6</f>
        <v>2346</v>
      </c>
      <c r="O63" s="157">
        <f t="shared" si="3"/>
        <v>98</v>
      </c>
      <c r="P63" s="127"/>
      <c r="Q63" s="104"/>
      <c r="R63" s="104"/>
      <c r="S63" s="104">
        <v>140</v>
      </c>
      <c r="T63" s="104"/>
    </row>
    <row r="64" spans="1:20" ht="28.5" customHeight="1">
      <c r="A64" s="134" t="s">
        <v>919</v>
      </c>
      <c r="B64" s="101">
        <v>127</v>
      </c>
      <c r="C64" s="148" t="s">
        <v>543</v>
      </c>
      <c r="D64" s="149" t="s">
        <v>932</v>
      </c>
      <c r="E64" s="102" t="s">
        <v>922</v>
      </c>
      <c r="F64" s="123">
        <v>7602</v>
      </c>
      <c r="G64" s="123">
        <v>2331</v>
      </c>
      <c r="H64" s="105">
        <v>0.25</v>
      </c>
      <c r="I64" s="106">
        <v>0.7700276243093922</v>
      </c>
      <c r="J64" s="123">
        <v>1748.25</v>
      </c>
      <c r="K64" s="123">
        <f t="shared" si="4"/>
        <v>1813.5373473000002</v>
      </c>
      <c r="L64" s="125">
        <f t="shared" si="5"/>
        <v>663754.66911180003</v>
      </c>
      <c r="M64" s="126">
        <v>366</v>
      </c>
      <c r="N64" s="128">
        <f t="shared" si="2"/>
        <v>2196</v>
      </c>
      <c r="O64" s="157">
        <f t="shared" si="3"/>
        <v>92</v>
      </c>
      <c r="P64" s="127"/>
      <c r="Q64" s="104"/>
      <c r="R64" s="104">
        <v>149</v>
      </c>
      <c r="S64" s="104">
        <v>77</v>
      </c>
      <c r="T64" s="104"/>
    </row>
    <row r="65" spans="1:20" ht="23.25" customHeight="1">
      <c r="A65" s="134" t="s">
        <v>919</v>
      </c>
      <c r="B65" s="101">
        <v>136</v>
      </c>
      <c r="C65" s="102" t="s">
        <v>546</v>
      </c>
      <c r="D65" s="107" t="s">
        <v>832</v>
      </c>
      <c r="E65" s="102" t="s">
        <v>833</v>
      </c>
      <c r="F65" s="123">
        <v>9793</v>
      </c>
      <c r="G65" s="123">
        <v>7252</v>
      </c>
      <c r="H65" s="105">
        <v>0.19999999999999996</v>
      </c>
      <c r="I65" s="106">
        <v>0.40757684060042887</v>
      </c>
      <c r="J65" s="123">
        <v>5801.6</v>
      </c>
      <c r="K65" s="123">
        <f t="shared" si="4"/>
        <v>6018.2572710400009</v>
      </c>
      <c r="L65" s="125">
        <f t="shared" si="5"/>
        <v>18054.771813120002</v>
      </c>
      <c r="M65" s="126">
        <v>3</v>
      </c>
      <c r="N65" s="128">
        <f t="shared" si="2"/>
        <v>18</v>
      </c>
      <c r="O65" s="157">
        <f t="shared" si="3"/>
        <v>1</v>
      </c>
      <c r="P65" s="127"/>
      <c r="Q65" s="104"/>
      <c r="R65" s="104">
        <v>5</v>
      </c>
      <c r="S65" s="104">
        <v>0</v>
      </c>
      <c r="T65" s="104"/>
    </row>
    <row r="66" spans="1:20" ht="23.25" customHeight="1">
      <c r="A66" s="134" t="s">
        <v>919</v>
      </c>
      <c r="B66" s="101">
        <v>138</v>
      </c>
      <c r="C66" s="102" t="s">
        <v>547</v>
      </c>
      <c r="D66" s="107" t="s">
        <v>834</v>
      </c>
      <c r="E66" s="102" t="s">
        <v>833</v>
      </c>
      <c r="F66" s="123">
        <v>6044</v>
      </c>
      <c r="G66" s="123">
        <v>2720</v>
      </c>
      <c r="H66" s="105">
        <v>0.2</v>
      </c>
      <c r="I66" s="106">
        <v>0.63997352746525482</v>
      </c>
      <c r="J66" s="123">
        <v>2176</v>
      </c>
      <c r="K66" s="123">
        <f t="shared" si="4"/>
        <v>2257.2614143999999</v>
      </c>
      <c r="L66" s="125">
        <f t="shared" si="5"/>
        <v>6771.7842431999998</v>
      </c>
      <c r="M66" s="126">
        <v>3</v>
      </c>
      <c r="N66" s="128">
        <f t="shared" si="2"/>
        <v>18</v>
      </c>
      <c r="O66" s="157">
        <f t="shared" si="3"/>
        <v>1</v>
      </c>
      <c r="P66" s="127"/>
      <c r="Q66" s="104"/>
      <c r="R66" s="104">
        <v>5</v>
      </c>
      <c r="S66" s="104">
        <v>20</v>
      </c>
      <c r="T66" s="104"/>
    </row>
    <row r="67" spans="1:20" ht="23.25" customHeight="1">
      <c r="A67" s="134" t="s">
        <v>919</v>
      </c>
      <c r="B67" s="101">
        <v>141</v>
      </c>
      <c r="C67" s="102" t="s">
        <v>550</v>
      </c>
      <c r="D67" s="103" t="s">
        <v>835</v>
      </c>
      <c r="E67" s="102" t="s">
        <v>836</v>
      </c>
      <c r="F67" s="123">
        <v>2195</v>
      </c>
      <c r="G67" s="123">
        <v>1283</v>
      </c>
      <c r="H67" s="105">
        <v>0.19999999999999993</v>
      </c>
      <c r="I67" s="106">
        <v>0.53239179954441918</v>
      </c>
      <c r="J67" s="123">
        <v>1026.4000000000001</v>
      </c>
      <c r="K67" s="123">
        <f t="shared" si="4"/>
        <v>1064.7302921600001</v>
      </c>
      <c r="L67" s="125">
        <f t="shared" si="5"/>
        <v>31941.908764800002</v>
      </c>
      <c r="M67" s="126">
        <v>30</v>
      </c>
      <c r="N67" s="128">
        <f t="shared" si="2"/>
        <v>180</v>
      </c>
      <c r="O67" s="157">
        <f t="shared" si="3"/>
        <v>8</v>
      </c>
      <c r="P67" s="127"/>
      <c r="Q67" s="104"/>
      <c r="R67" s="104"/>
      <c r="S67" s="104">
        <v>0</v>
      </c>
      <c r="T67" s="104"/>
    </row>
    <row r="68" spans="1:20" ht="23.25" customHeight="1">
      <c r="A68" s="134" t="s">
        <v>919</v>
      </c>
      <c r="B68" s="101">
        <v>143</v>
      </c>
      <c r="C68" s="102" t="s">
        <v>551</v>
      </c>
      <c r="D68" s="107" t="s">
        <v>837</v>
      </c>
      <c r="E68" s="102" t="s">
        <v>836</v>
      </c>
      <c r="F68" s="123">
        <v>16478</v>
      </c>
      <c r="G68" s="123">
        <v>8448</v>
      </c>
      <c r="H68" s="105">
        <v>0.25</v>
      </c>
      <c r="I68" s="106">
        <v>0.61548731642189591</v>
      </c>
      <c r="J68" s="123">
        <v>6336</v>
      </c>
      <c r="K68" s="123">
        <f t="shared" si="4"/>
        <v>6572.6141184000007</v>
      </c>
      <c r="L68" s="125">
        <f t="shared" si="5"/>
        <v>9103070.5539840013</v>
      </c>
      <c r="M68" s="126">
        <v>1385</v>
      </c>
      <c r="N68" s="128">
        <f t="shared" si="2"/>
        <v>8310</v>
      </c>
      <c r="O68" s="157">
        <f t="shared" ref="O68:O131" si="8">+ROUND(M68*25%,0)</f>
        <v>346</v>
      </c>
      <c r="P68" s="127"/>
      <c r="Q68" s="104"/>
      <c r="R68" s="104">
        <v>1095</v>
      </c>
      <c r="S68" s="104">
        <v>1071</v>
      </c>
      <c r="T68" s="104"/>
    </row>
    <row r="69" spans="1:20" ht="23.25" customHeight="1">
      <c r="A69" s="134" t="s">
        <v>919</v>
      </c>
      <c r="B69" s="101">
        <v>151</v>
      </c>
      <c r="C69" s="102" t="s">
        <v>554</v>
      </c>
      <c r="D69" s="103" t="s">
        <v>838</v>
      </c>
      <c r="E69" s="102" t="s">
        <v>799</v>
      </c>
      <c r="F69" s="123">
        <v>8581</v>
      </c>
      <c r="G69" s="123">
        <v>5803</v>
      </c>
      <c r="H69" s="105">
        <v>0.25</v>
      </c>
      <c r="I69" s="106">
        <v>0.4928038690129356</v>
      </c>
      <c r="J69" s="123">
        <v>4352.25</v>
      </c>
      <c r="K69" s="123">
        <f t="shared" si="4"/>
        <v>4514.7821649000007</v>
      </c>
      <c r="L69" s="125">
        <f t="shared" si="5"/>
        <v>7629981.8586810008</v>
      </c>
      <c r="M69" s="126">
        <v>1690</v>
      </c>
      <c r="N69" s="128">
        <f t="shared" si="2"/>
        <v>10140</v>
      </c>
      <c r="O69" s="157">
        <f t="shared" si="8"/>
        <v>423</v>
      </c>
      <c r="P69" s="127"/>
      <c r="Q69" s="104"/>
      <c r="R69" s="104">
        <v>1410</v>
      </c>
      <c r="S69" s="104">
        <v>1187</v>
      </c>
      <c r="T69" s="104"/>
    </row>
    <row r="70" spans="1:20" ht="23.25" customHeight="1">
      <c r="A70" s="134" t="s">
        <v>919</v>
      </c>
      <c r="B70" s="101">
        <v>152</v>
      </c>
      <c r="C70" s="102" t="s">
        <v>555</v>
      </c>
      <c r="D70" s="103" t="s">
        <v>839</v>
      </c>
      <c r="E70" s="102" t="s">
        <v>799</v>
      </c>
      <c r="F70" s="123">
        <v>31205</v>
      </c>
      <c r="G70" s="123">
        <v>1916</v>
      </c>
      <c r="H70" s="105">
        <v>0.2</v>
      </c>
      <c r="I70" s="106">
        <v>0.95087966672007695</v>
      </c>
      <c r="J70" s="123">
        <v>1532.8</v>
      </c>
      <c r="K70" s="123">
        <f t="shared" ref="K70:K101" si="9">+J70*(1+$K$1)</f>
        <v>1590.0414963200001</v>
      </c>
      <c r="L70" s="125">
        <f t="shared" ref="L70:L101" si="10">+K70*M70</f>
        <v>3180.0829926400002</v>
      </c>
      <c r="M70" s="126">
        <v>2</v>
      </c>
      <c r="N70" s="128">
        <f t="shared" si="2"/>
        <v>12</v>
      </c>
      <c r="O70" s="157">
        <f t="shared" si="8"/>
        <v>1</v>
      </c>
      <c r="P70" s="127"/>
      <c r="Q70" s="104"/>
      <c r="R70" s="104"/>
      <c r="S70" s="104">
        <v>0</v>
      </c>
      <c r="T70" s="104"/>
    </row>
    <row r="71" spans="1:20" ht="23.25" customHeight="1">
      <c r="A71" s="134" t="s">
        <v>919</v>
      </c>
      <c r="B71" s="101">
        <v>154</v>
      </c>
      <c r="C71" s="102" t="s">
        <v>558</v>
      </c>
      <c r="D71" s="103" t="s">
        <v>840</v>
      </c>
      <c r="E71" s="102" t="s">
        <v>841</v>
      </c>
      <c r="F71" s="123">
        <v>5289</v>
      </c>
      <c r="G71" s="123">
        <v>2779</v>
      </c>
      <c r="H71" s="105">
        <v>0.20000000000000007</v>
      </c>
      <c r="I71" s="106">
        <v>0.57965588958215175</v>
      </c>
      <c r="J71" s="123">
        <v>2223.1999999999998</v>
      </c>
      <c r="K71" s="123">
        <f t="shared" si="9"/>
        <v>2306.2240700799998</v>
      </c>
      <c r="L71" s="125">
        <f t="shared" si="10"/>
        <v>11531.120350399999</v>
      </c>
      <c r="M71" s="126">
        <v>5</v>
      </c>
      <c r="N71" s="128">
        <f t="shared" ref="N71:N135" si="11">+M71*6</f>
        <v>30</v>
      </c>
      <c r="O71" s="157">
        <f t="shared" si="8"/>
        <v>1</v>
      </c>
      <c r="P71" s="127"/>
      <c r="Q71" s="104"/>
      <c r="R71" s="104">
        <v>5</v>
      </c>
      <c r="S71" s="104">
        <v>5</v>
      </c>
      <c r="T71" s="104"/>
    </row>
    <row r="72" spans="1:20" ht="23.25" customHeight="1">
      <c r="A72" s="134" t="s">
        <v>919</v>
      </c>
      <c r="B72" s="101">
        <v>156</v>
      </c>
      <c r="C72" s="102" t="s">
        <v>561</v>
      </c>
      <c r="D72" s="103" t="s">
        <v>842</v>
      </c>
      <c r="E72" s="102" t="s">
        <v>843</v>
      </c>
      <c r="F72" s="123">
        <v>10917</v>
      </c>
      <c r="G72" s="123">
        <v>5342</v>
      </c>
      <c r="H72" s="105">
        <v>0.25</v>
      </c>
      <c r="I72" s="106">
        <v>0.63300357241000271</v>
      </c>
      <c r="J72" s="123">
        <v>4006.5</v>
      </c>
      <c r="K72" s="123">
        <f t="shared" si="9"/>
        <v>4156.1203386000007</v>
      </c>
      <c r="L72" s="125">
        <f t="shared" si="10"/>
        <v>2822005.7099094004</v>
      </c>
      <c r="M72" s="126">
        <v>679</v>
      </c>
      <c r="N72" s="128">
        <f t="shared" si="11"/>
        <v>4074</v>
      </c>
      <c r="O72" s="157">
        <f t="shared" si="8"/>
        <v>170</v>
      </c>
      <c r="P72" s="127"/>
      <c r="Q72" s="104"/>
      <c r="R72" s="104">
        <v>312</v>
      </c>
      <c r="S72" s="104">
        <v>300</v>
      </c>
      <c r="T72" s="104"/>
    </row>
    <row r="73" spans="1:20" ht="23.25" customHeight="1">
      <c r="A73" s="134" t="s">
        <v>919</v>
      </c>
      <c r="B73" s="101">
        <v>157</v>
      </c>
      <c r="C73" s="102" t="s">
        <v>562</v>
      </c>
      <c r="D73" s="103" t="s">
        <v>844</v>
      </c>
      <c r="E73" s="102" t="s">
        <v>845</v>
      </c>
      <c r="F73" s="123">
        <v>11891</v>
      </c>
      <c r="G73" s="123">
        <v>7965</v>
      </c>
      <c r="H73" s="105">
        <v>0.25</v>
      </c>
      <c r="I73" s="106">
        <v>0.49762425363720464</v>
      </c>
      <c r="J73" s="123">
        <v>5973.75</v>
      </c>
      <c r="K73" s="123">
        <f t="shared" si="9"/>
        <v>6196.8361095</v>
      </c>
      <c r="L73" s="125">
        <f t="shared" si="10"/>
        <v>3804857.371233</v>
      </c>
      <c r="M73" s="126">
        <v>614</v>
      </c>
      <c r="N73" s="128">
        <f t="shared" si="11"/>
        <v>3684</v>
      </c>
      <c r="O73" s="157">
        <f t="shared" si="8"/>
        <v>154</v>
      </c>
      <c r="P73" s="127"/>
      <c r="Q73" s="104"/>
      <c r="R73" s="104">
        <v>100</v>
      </c>
      <c r="S73" s="104">
        <v>0</v>
      </c>
      <c r="T73" s="104"/>
    </row>
    <row r="74" spans="1:20" ht="23.25" customHeight="1">
      <c r="A74" s="134" t="s">
        <v>919</v>
      </c>
      <c r="B74" s="101">
        <v>158</v>
      </c>
      <c r="C74" s="102" t="s">
        <v>563</v>
      </c>
      <c r="D74" s="103" t="s">
        <v>846</v>
      </c>
      <c r="E74" s="102" t="s">
        <v>847</v>
      </c>
      <c r="F74" s="123">
        <v>14539</v>
      </c>
      <c r="G74" s="123">
        <v>8139</v>
      </c>
      <c r="H74" s="105">
        <v>0.25</v>
      </c>
      <c r="I74" s="106">
        <v>0.58014650251048905</v>
      </c>
      <c r="J74" s="123">
        <v>6104.25</v>
      </c>
      <c r="K74" s="123">
        <f t="shared" si="9"/>
        <v>6332.2095537000005</v>
      </c>
      <c r="L74" s="125">
        <f t="shared" si="10"/>
        <v>601559.90760150005</v>
      </c>
      <c r="M74" s="126">
        <v>95</v>
      </c>
      <c r="N74" s="128">
        <f t="shared" si="11"/>
        <v>570</v>
      </c>
      <c r="O74" s="157">
        <f t="shared" si="8"/>
        <v>24</v>
      </c>
      <c r="P74" s="127"/>
      <c r="Q74" s="104"/>
      <c r="R74" s="104">
        <v>179</v>
      </c>
      <c r="S74" s="104">
        <v>178</v>
      </c>
      <c r="T74" s="104"/>
    </row>
    <row r="75" spans="1:20" ht="23.25" customHeight="1">
      <c r="A75" s="134" t="s">
        <v>919</v>
      </c>
      <c r="B75" s="101">
        <v>159</v>
      </c>
      <c r="C75" s="102" t="s">
        <v>566</v>
      </c>
      <c r="D75" s="103" t="s">
        <v>848</v>
      </c>
      <c r="E75" s="102" t="s">
        <v>849</v>
      </c>
      <c r="F75" s="123">
        <v>6639</v>
      </c>
      <c r="G75" s="123">
        <v>2457</v>
      </c>
      <c r="H75" s="105">
        <v>0.25</v>
      </c>
      <c r="I75" s="106">
        <v>0.72243560777225491</v>
      </c>
      <c r="J75" s="123">
        <v>1842.75</v>
      </c>
      <c r="K75" s="123">
        <f t="shared" si="9"/>
        <v>1911.5663931000001</v>
      </c>
      <c r="L75" s="125">
        <f t="shared" si="10"/>
        <v>214095.43602720002</v>
      </c>
      <c r="M75" s="126">
        <v>112</v>
      </c>
      <c r="N75" s="128">
        <f t="shared" si="11"/>
        <v>672</v>
      </c>
      <c r="O75" s="157">
        <f t="shared" si="8"/>
        <v>28</v>
      </c>
      <c r="P75" s="127"/>
      <c r="Q75" s="104"/>
      <c r="R75" s="104">
        <v>117</v>
      </c>
      <c r="S75" s="104">
        <v>100</v>
      </c>
      <c r="T75" s="104"/>
    </row>
    <row r="76" spans="1:20" ht="23.25" customHeight="1">
      <c r="A76" s="134" t="s">
        <v>919</v>
      </c>
      <c r="B76" s="101">
        <v>160</v>
      </c>
      <c r="C76" s="102" t="s">
        <v>569</v>
      </c>
      <c r="D76" s="103" t="s">
        <v>850</v>
      </c>
      <c r="E76" s="102" t="s">
        <v>851</v>
      </c>
      <c r="F76" s="123">
        <v>3318</v>
      </c>
      <c r="G76" s="123">
        <v>1832</v>
      </c>
      <c r="H76" s="105">
        <v>0.20000000000000004</v>
      </c>
      <c r="I76" s="106">
        <v>0.558288125376733</v>
      </c>
      <c r="J76" s="123">
        <v>1465.6</v>
      </c>
      <c r="K76" s="123">
        <f t="shared" si="9"/>
        <v>1520.3319526400001</v>
      </c>
      <c r="L76" s="125">
        <f t="shared" si="10"/>
        <v>91219.9171584</v>
      </c>
      <c r="M76" s="126">
        <v>60</v>
      </c>
      <c r="N76" s="128">
        <f t="shared" si="11"/>
        <v>360</v>
      </c>
      <c r="O76" s="157">
        <f t="shared" si="8"/>
        <v>15</v>
      </c>
      <c r="P76" s="127"/>
      <c r="Q76" s="104"/>
      <c r="R76" s="104">
        <v>190</v>
      </c>
      <c r="S76" s="104">
        <v>220</v>
      </c>
      <c r="T76" s="104"/>
    </row>
    <row r="77" spans="1:20" ht="23.25" customHeight="1">
      <c r="A77" s="134" t="s">
        <v>919</v>
      </c>
      <c r="B77" s="101">
        <v>161</v>
      </c>
      <c r="C77" s="102" t="s">
        <v>572</v>
      </c>
      <c r="D77" s="103" t="s">
        <v>852</v>
      </c>
      <c r="E77" s="102" t="s">
        <v>799</v>
      </c>
      <c r="F77" s="123">
        <v>3484</v>
      </c>
      <c r="G77" s="123">
        <v>2472</v>
      </c>
      <c r="H77" s="105">
        <v>0.20000000000000004</v>
      </c>
      <c r="I77" s="106">
        <v>0.43237657864523538</v>
      </c>
      <c r="J77" s="123">
        <v>1977.6</v>
      </c>
      <c r="K77" s="123">
        <f t="shared" si="9"/>
        <v>2051.4522854400002</v>
      </c>
      <c r="L77" s="125">
        <f t="shared" si="10"/>
        <v>36926.14113792</v>
      </c>
      <c r="M77" s="126">
        <v>18</v>
      </c>
      <c r="N77" s="128">
        <f t="shared" si="11"/>
        <v>108</v>
      </c>
      <c r="O77" s="157">
        <f t="shared" si="8"/>
        <v>5</v>
      </c>
      <c r="P77" s="127"/>
      <c r="Q77" s="104"/>
      <c r="R77" s="104">
        <v>15</v>
      </c>
      <c r="S77" s="104">
        <v>0</v>
      </c>
      <c r="T77" s="104"/>
    </row>
    <row r="78" spans="1:20" ht="23.25" customHeight="1">
      <c r="A78" s="134" t="s">
        <v>919</v>
      </c>
      <c r="B78" s="101">
        <v>162</v>
      </c>
      <c r="C78" s="102" t="s">
        <v>573</v>
      </c>
      <c r="D78" s="107" t="s">
        <v>853</v>
      </c>
      <c r="E78" s="102" t="s">
        <v>799</v>
      </c>
      <c r="F78" s="123">
        <v>4109</v>
      </c>
      <c r="G78" s="123">
        <v>2472</v>
      </c>
      <c r="H78" s="105">
        <v>0.25</v>
      </c>
      <c r="I78" s="106">
        <v>0.5487953273302506</v>
      </c>
      <c r="J78" s="123">
        <v>1854</v>
      </c>
      <c r="K78" s="123">
        <f t="shared" si="9"/>
        <v>1923.2365176000001</v>
      </c>
      <c r="L78" s="125">
        <f t="shared" si="10"/>
        <v>173091.28658400002</v>
      </c>
      <c r="M78" s="126">
        <v>90</v>
      </c>
      <c r="N78" s="128">
        <f t="shared" si="11"/>
        <v>540</v>
      </c>
      <c r="O78" s="157">
        <f t="shared" si="8"/>
        <v>23</v>
      </c>
      <c r="P78" s="127"/>
      <c r="Q78" s="104"/>
      <c r="R78" s="104">
        <v>140</v>
      </c>
      <c r="S78" s="104">
        <v>174</v>
      </c>
      <c r="T78" s="104"/>
    </row>
    <row r="79" spans="1:20" ht="23.25" customHeight="1">
      <c r="A79" s="134" t="s">
        <v>919</v>
      </c>
      <c r="B79" s="101">
        <v>168</v>
      </c>
      <c r="C79" s="102" t="s">
        <v>576</v>
      </c>
      <c r="D79" s="103" t="s">
        <v>854</v>
      </c>
      <c r="E79" s="102" t="s">
        <v>799</v>
      </c>
      <c r="F79" s="123">
        <v>44461</v>
      </c>
      <c r="G79" s="123">
        <v>28360</v>
      </c>
      <c r="H79" s="105">
        <v>0.25</v>
      </c>
      <c r="I79" s="106">
        <v>0.52160320280695438</v>
      </c>
      <c r="J79" s="123">
        <v>21270</v>
      </c>
      <c r="K79" s="123">
        <f t="shared" si="9"/>
        <v>22064.315388000003</v>
      </c>
      <c r="L79" s="125">
        <f t="shared" si="10"/>
        <v>529543.56931200007</v>
      </c>
      <c r="M79" s="126">
        <v>24</v>
      </c>
      <c r="N79" s="128">
        <f t="shared" si="11"/>
        <v>144</v>
      </c>
      <c r="O79" s="157">
        <f t="shared" si="8"/>
        <v>6</v>
      </c>
      <c r="P79" s="127"/>
      <c r="Q79" s="104"/>
      <c r="R79" s="104">
        <v>15</v>
      </c>
      <c r="S79" s="104">
        <v>6</v>
      </c>
      <c r="T79" s="104"/>
    </row>
    <row r="80" spans="1:20" ht="23.25" customHeight="1">
      <c r="A80" s="134" t="s">
        <v>919</v>
      </c>
      <c r="B80" s="145">
        <v>169</v>
      </c>
      <c r="C80" s="146" t="s">
        <v>940</v>
      </c>
      <c r="D80" s="147" t="s">
        <v>941</v>
      </c>
      <c r="E80" s="146" t="s">
        <v>799</v>
      </c>
      <c r="F80" s="123"/>
      <c r="G80" s="123"/>
      <c r="H80" s="105"/>
      <c r="I80" s="106"/>
      <c r="J80" s="123"/>
      <c r="K80" s="155">
        <f>186938*(1+$K$1)</f>
        <v>193919.0874472</v>
      </c>
      <c r="L80" s="125">
        <f t="shared" si="10"/>
        <v>775676.3497888</v>
      </c>
      <c r="M80" s="150">
        <v>4</v>
      </c>
      <c r="N80" s="128">
        <f t="shared" si="11"/>
        <v>24</v>
      </c>
      <c r="O80" s="157">
        <f t="shared" si="8"/>
        <v>1</v>
      </c>
      <c r="P80" s="127"/>
      <c r="Q80" s="104"/>
      <c r="R80" s="104"/>
      <c r="S80" s="104">
        <v>6</v>
      </c>
      <c r="T80" s="104"/>
    </row>
    <row r="81" spans="1:20" ht="23.25" customHeight="1">
      <c r="A81" s="134" t="s">
        <v>919</v>
      </c>
      <c r="B81" s="101">
        <v>170</v>
      </c>
      <c r="C81" s="102" t="s">
        <v>579</v>
      </c>
      <c r="D81" s="103" t="s">
        <v>855</v>
      </c>
      <c r="E81" s="102" t="s">
        <v>856</v>
      </c>
      <c r="F81" s="123">
        <v>42466</v>
      </c>
      <c r="G81" s="123">
        <v>13884</v>
      </c>
      <c r="H81" s="105">
        <v>0.25</v>
      </c>
      <c r="I81" s="106">
        <v>0.75479206894927708</v>
      </c>
      <c r="J81" s="123">
        <v>10413</v>
      </c>
      <c r="K81" s="123">
        <f t="shared" si="9"/>
        <v>10801.8672372</v>
      </c>
      <c r="L81" s="125">
        <f t="shared" si="10"/>
        <v>14593322.637457199</v>
      </c>
      <c r="M81" s="126">
        <v>1351</v>
      </c>
      <c r="N81" s="128">
        <f t="shared" si="11"/>
        <v>8106</v>
      </c>
      <c r="O81" s="157">
        <f t="shared" si="8"/>
        <v>338</v>
      </c>
      <c r="P81" s="127"/>
      <c r="Q81" s="104"/>
      <c r="R81" s="104">
        <v>1140</v>
      </c>
      <c r="S81" s="104">
        <v>914</v>
      </c>
      <c r="T81" s="104"/>
    </row>
    <row r="82" spans="1:20" ht="23.25" customHeight="1">
      <c r="A82" s="134" t="s">
        <v>919</v>
      </c>
      <c r="B82" s="101">
        <v>174</v>
      </c>
      <c r="C82" s="102" t="s">
        <v>582</v>
      </c>
      <c r="D82" s="103" t="s">
        <v>857</v>
      </c>
      <c r="E82" s="102" t="s">
        <v>858</v>
      </c>
      <c r="F82" s="123">
        <v>19402</v>
      </c>
      <c r="G82" s="123">
        <v>10262</v>
      </c>
      <c r="H82" s="105">
        <v>0.19999999999999996</v>
      </c>
      <c r="I82" s="106">
        <v>0.5768683640861767</v>
      </c>
      <c r="J82" s="123">
        <v>8209.6</v>
      </c>
      <c r="K82" s="123">
        <f t="shared" si="9"/>
        <v>8516.1825862400001</v>
      </c>
      <c r="L82" s="125">
        <f t="shared" si="10"/>
        <v>25548.54775872</v>
      </c>
      <c r="M82" s="126">
        <v>3</v>
      </c>
      <c r="N82" s="128">
        <f t="shared" si="11"/>
        <v>18</v>
      </c>
      <c r="O82" s="157">
        <f t="shared" si="8"/>
        <v>1</v>
      </c>
      <c r="P82" s="127"/>
      <c r="Q82" s="104"/>
      <c r="R82" s="104">
        <v>5</v>
      </c>
      <c r="S82" s="104">
        <v>0</v>
      </c>
      <c r="T82" s="104"/>
    </row>
    <row r="83" spans="1:20" ht="23.25" customHeight="1">
      <c r="A83" s="134" t="s">
        <v>919</v>
      </c>
      <c r="B83" s="101">
        <v>175</v>
      </c>
      <c r="C83" s="102" t="s">
        <v>585</v>
      </c>
      <c r="D83" s="103" t="s">
        <v>859</v>
      </c>
      <c r="E83" s="102" t="s">
        <v>860</v>
      </c>
      <c r="F83" s="123">
        <v>11895</v>
      </c>
      <c r="G83" s="123">
        <v>6816</v>
      </c>
      <c r="H83" s="105">
        <v>0.25</v>
      </c>
      <c r="I83" s="106">
        <v>0.57023959646910471</v>
      </c>
      <c r="J83" s="123">
        <v>5112</v>
      </c>
      <c r="K83" s="123">
        <f t="shared" si="9"/>
        <v>5302.9045728000001</v>
      </c>
      <c r="L83" s="125">
        <f t="shared" si="10"/>
        <v>4215809.1353759998</v>
      </c>
      <c r="M83" s="126">
        <v>795</v>
      </c>
      <c r="N83" s="128">
        <f t="shared" si="11"/>
        <v>4770</v>
      </c>
      <c r="O83" s="157">
        <f t="shared" si="8"/>
        <v>199</v>
      </c>
      <c r="P83" s="127"/>
      <c r="Q83" s="104"/>
      <c r="R83" s="104">
        <v>820</v>
      </c>
      <c r="S83" s="104">
        <v>648</v>
      </c>
      <c r="T83" s="104"/>
    </row>
    <row r="84" spans="1:20" ht="23.25" customHeight="1">
      <c r="A84" s="134" t="s">
        <v>919</v>
      </c>
      <c r="B84" s="101">
        <v>177</v>
      </c>
      <c r="C84" s="102" t="s">
        <v>586</v>
      </c>
      <c r="D84" s="103" t="s">
        <v>859</v>
      </c>
      <c r="E84" s="102" t="s">
        <v>856</v>
      </c>
      <c r="F84" s="123">
        <v>5021</v>
      </c>
      <c r="G84" s="123">
        <v>2283</v>
      </c>
      <c r="H84" s="105">
        <v>0.19999999999999996</v>
      </c>
      <c r="I84" s="106">
        <v>0.63624775941047607</v>
      </c>
      <c r="J84" s="123">
        <v>1826.4</v>
      </c>
      <c r="K84" s="123">
        <f t="shared" si="9"/>
        <v>1894.6058121600001</v>
      </c>
      <c r="L84" s="125">
        <f t="shared" si="10"/>
        <v>47365.145304000005</v>
      </c>
      <c r="M84" s="126">
        <v>25</v>
      </c>
      <c r="N84" s="128">
        <f t="shared" si="11"/>
        <v>150</v>
      </c>
      <c r="O84" s="157">
        <f t="shared" si="8"/>
        <v>6</v>
      </c>
      <c r="P84" s="127"/>
      <c r="Q84" s="104"/>
      <c r="R84" s="104">
        <v>30</v>
      </c>
      <c r="S84" s="104">
        <v>20</v>
      </c>
      <c r="T84" s="104"/>
    </row>
    <row r="85" spans="1:20" ht="23.25" customHeight="1">
      <c r="A85" s="134" t="s">
        <v>919</v>
      </c>
      <c r="B85" s="101">
        <v>184</v>
      </c>
      <c r="C85" s="102" t="s">
        <v>589</v>
      </c>
      <c r="D85" s="103" t="s">
        <v>861</v>
      </c>
      <c r="E85" s="102" t="s">
        <v>862</v>
      </c>
      <c r="F85" s="123">
        <v>2106</v>
      </c>
      <c r="G85" s="123">
        <v>1421</v>
      </c>
      <c r="H85" s="105">
        <v>0.25</v>
      </c>
      <c r="I85" s="106">
        <v>0.49394586894586889</v>
      </c>
      <c r="J85" s="123">
        <v>1065.75</v>
      </c>
      <c r="K85" s="123">
        <f t="shared" si="9"/>
        <v>1105.5497943</v>
      </c>
      <c r="L85" s="125">
        <f t="shared" si="10"/>
        <v>1668274.6395987</v>
      </c>
      <c r="M85" s="126">
        <v>1509</v>
      </c>
      <c r="N85" s="128">
        <f t="shared" si="11"/>
        <v>9054</v>
      </c>
      <c r="O85" s="157">
        <f t="shared" si="8"/>
        <v>377</v>
      </c>
      <c r="P85" s="127"/>
      <c r="Q85" s="104"/>
      <c r="R85" s="104">
        <v>1344</v>
      </c>
      <c r="S85" s="104">
        <v>1307</v>
      </c>
      <c r="T85" s="104"/>
    </row>
    <row r="86" spans="1:20" ht="23.25" customHeight="1">
      <c r="A86" s="134" t="s">
        <v>919</v>
      </c>
      <c r="B86" s="101">
        <v>188</v>
      </c>
      <c r="C86" s="102" t="s">
        <v>592</v>
      </c>
      <c r="D86" s="103" t="s">
        <v>861</v>
      </c>
      <c r="E86" s="102" t="s">
        <v>863</v>
      </c>
      <c r="F86" s="123">
        <v>9779</v>
      </c>
      <c r="G86" s="123">
        <v>4203</v>
      </c>
      <c r="H86" s="105">
        <v>0.19999999999999998</v>
      </c>
      <c r="I86" s="106">
        <v>0.65616116167297267</v>
      </c>
      <c r="J86" s="123">
        <v>3362.4</v>
      </c>
      <c r="K86" s="123">
        <f t="shared" si="9"/>
        <v>3487.9668105600003</v>
      </c>
      <c r="L86" s="125">
        <f t="shared" si="10"/>
        <v>125566.80518016001</v>
      </c>
      <c r="M86" s="126">
        <v>36</v>
      </c>
      <c r="N86" s="128">
        <f t="shared" si="11"/>
        <v>216</v>
      </c>
      <c r="O86" s="157">
        <f t="shared" si="8"/>
        <v>9</v>
      </c>
      <c r="P86" s="127"/>
      <c r="Q86" s="104"/>
      <c r="R86" s="104">
        <v>5</v>
      </c>
      <c r="S86" s="104">
        <v>0</v>
      </c>
      <c r="T86" s="104"/>
    </row>
    <row r="87" spans="1:20" ht="23.25" customHeight="1">
      <c r="A87" s="134" t="s">
        <v>919</v>
      </c>
      <c r="B87" s="101">
        <v>189</v>
      </c>
      <c r="C87" s="102" t="s">
        <v>593</v>
      </c>
      <c r="D87" s="103" t="s">
        <v>864</v>
      </c>
      <c r="E87" s="102" t="s">
        <v>863</v>
      </c>
      <c r="F87" s="123">
        <v>10813</v>
      </c>
      <c r="G87" s="123">
        <v>2019</v>
      </c>
      <c r="H87" s="105">
        <v>0.25</v>
      </c>
      <c r="I87" s="106">
        <v>0.85996023305280678</v>
      </c>
      <c r="J87" s="123">
        <v>1514.25</v>
      </c>
      <c r="K87" s="123">
        <f t="shared" si="9"/>
        <v>1570.7987577000001</v>
      </c>
      <c r="L87" s="125">
        <f t="shared" si="10"/>
        <v>1228364.6285214</v>
      </c>
      <c r="M87" s="126">
        <v>782</v>
      </c>
      <c r="N87" s="128">
        <f t="shared" si="11"/>
        <v>4692</v>
      </c>
      <c r="O87" s="157">
        <f t="shared" si="8"/>
        <v>196</v>
      </c>
      <c r="P87" s="127"/>
      <c r="Q87" s="104"/>
      <c r="R87" s="104">
        <v>890</v>
      </c>
      <c r="S87" s="104">
        <v>835</v>
      </c>
      <c r="T87" s="104"/>
    </row>
    <row r="88" spans="1:20" ht="23.25" customHeight="1">
      <c r="A88" s="134" t="s">
        <v>919</v>
      </c>
      <c r="B88" s="101">
        <v>193</v>
      </c>
      <c r="C88" s="102" t="s">
        <v>596</v>
      </c>
      <c r="D88" s="103" t="s">
        <v>865</v>
      </c>
      <c r="E88" s="102" t="s">
        <v>866</v>
      </c>
      <c r="F88" s="123">
        <v>20916</v>
      </c>
      <c r="G88" s="123">
        <v>10384</v>
      </c>
      <c r="H88" s="105">
        <v>0.25</v>
      </c>
      <c r="I88" s="106">
        <v>0.627653471026965</v>
      </c>
      <c r="J88" s="123">
        <v>7788</v>
      </c>
      <c r="K88" s="123">
        <f t="shared" si="9"/>
        <v>8078.8381872</v>
      </c>
      <c r="L88" s="125">
        <f t="shared" si="10"/>
        <v>1696556.0193119999</v>
      </c>
      <c r="M88" s="126">
        <v>210</v>
      </c>
      <c r="N88" s="128">
        <f t="shared" si="11"/>
        <v>1260</v>
      </c>
      <c r="O88" s="157">
        <f t="shared" si="8"/>
        <v>53</v>
      </c>
      <c r="P88" s="127"/>
      <c r="Q88" s="104"/>
      <c r="R88" s="104">
        <v>213</v>
      </c>
      <c r="S88" s="104">
        <v>179</v>
      </c>
      <c r="T88" s="104"/>
    </row>
    <row r="89" spans="1:20" ht="23.25" customHeight="1">
      <c r="A89" s="134" t="s">
        <v>919</v>
      </c>
      <c r="B89" s="101">
        <v>197</v>
      </c>
      <c r="C89" s="102" t="s">
        <v>597</v>
      </c>
      <c r="D89" s="103" t="s">
        <v>867</v>
      </c>
      <c r="E89" s="102" t="s">
        <v>799</v>
      </c>
      <c r="F89" s="123">
        <v>86605</v>
      </c>
      <c r="G89" s="123">
        <v>41930</v>
      </c>
      <c r="H89" s="105">
        <v>0.25</v>
      </c>
      <c r="I89" s="106">
        <v>0.63688586109347034</v>
      </c>
      <c r="J89" s="123">
        <v>31447.5</v>
      </c>
      <c r="K89" s="123">
        <f t="shared" si="9"/>
        <v>32621.888019000002</v>
      </c>
      <c r="L89" s="125">
        <f t="shared" si="10"/>
        <v>391462.65622800001</v>
      </c>
      <c r="M89" s="126">
        <v>12</v>
      </c>
      <c r="N89" s="128">
        <f t="shared" si="11"/>
        <v>72</v>
      </c>
      <c r="O89" s="157">
        <f t="shared" si="8"/>
        <v>3</v>
      </c>
      <c r="P89" s="127"/>
      <c r="Q89" s="104"/>
      <c r="R89" s="104"/>
      <c r="S89" s="104">
        <v>8</v>
      </c>
      <c r="T89" s="104"/>
    </row>
    <row r="90" spans="1:20" ht="23.25" customHeight="1">
      <c r="A90" s="134" t="s">
        <v>919</v>
      </c>
      <c r="B90" s="101">
        <v>198</v>
      </c>
      <c r="C90" s="102" t="s">
        <v>598</v>
      </c>
      <c r="D90" s="103" t="s">
        <v>868</v>
      </c>
      <c r="E90" s="102" t="s">
        <v>799</v>
      </c>
      <c r="F90" s="123">
        <v>59315</v>
      </c>
      <c r="G90" s="123">
        <v>35712</v>
      </c>
      <c r="H90" s="105">
        <v>0.25</v>
      </c>
      <c r="I90" s="106">
        <v>0.5484447441625222</v>
      </c>
      <c r="J90" s="123">
        <v>26784</v>
      </c>
      <c r="K90" s="123">
        <f t="shared" si="9"/>
        <v>27784.232409600001</v>
      </c>
      <c r="L90" s="125">
        <f t="shared" si="10"/>
        <v>222273.85927680001</v>
      </c>
      <c r="M90" s="126">
        <v>8</v>
      </c>
      <c r="N90" s="128">
        <f t="shared" si="11"/>
        <v>48</v>
      </c>
      <c r="O90" s="157">
        <f t="shared" si="8"/>
        <v>2</v>
      </c>
      <c r="P90" s="127"/>
      <c r="Q90" s="104"/>
      <c r="R90" s="104"/>
      <c r="S90" s="104">
        <v>7</v>
      </c>
      <c r="T90" s="104"/>
    </row>
    <row r="91" spans="1:20" ht="23.25" customHeight="1">
      <c r="A91" s="134" t="s">
        <v>919</v>
      </c>
      <c r="B91" s="101">
        <v>199</v>
      </c>
      <c r="C91" s="102" t="s">
        <v>599</v>
      </c>
      <c r="D91" s="103" t="s">
        <v>869</v>
      </c>
      <c r="E91" s="102" t="s">
        <v>799</v>
      </c>
      <c r="F91" s="123">
        <v>45621</v>
      </c>
      <c r="G91" s="123">
        <v>18695</v>
      </c>
      <c r="H91" s="105">
        <v>0.25</v>
      </c>
      <c r="I91" s="106">
        <v>0.69265798645360688</v>
      </c>
      <c r="J91" s="123">
        <v>14021.25</v>
      </c>
      <c r="K91" s="123">
        <f t="shared" si="9"/>
        <v>14544.8651685</v>
      </c>
      <c r="L91" s="125">
        <f t="shared" si="10"/>
        <v>276352.43820149999</v>
      </c>
      <c r="M91" s="126">
        <v>19</v>
      </c>
      <c r="N91" s="128">
        <f t="shared" si="11"/>
        <v>114</v>
      </c>
      <c r="O91" s="157">
        <f t="shared" si="8"/>
        <v>5</v>
      </c>
      <c r="P91" s="127"/>
      <c r="Q91" s="104"/>
      <c r="R91" s="104"/>
      <c r="S91" s="104">
        <v>1</v>
      </c>
      <c r="T91" s="104"/>
    </row>
    <row r="92" spans="1:20" ht="23.25" customHeight="1">
      <c r="A92" s="134" t="s">
        <v>919</v>
      </c>
      <c r="B92" s="101">
        <v>200</v>
      </c>
      <c r="C92" s="102" t="s">
        <v>600</v>
      </c>
      <c r="D92" s="103" t="s">
        <v>870</v>
      </c>
      <c r="E92" s="102" t="s">
        <v>799</v>
      </c>
      <c r="F92" s="123">
        <v>32761</v>
      </c>
      <c r="G92" s="123">
        <v>16747</v>
      </c>
      <c r="H92" s="105">
        <v>0.19999999999999998</v>
      </c>
      <c r="I92" s="106">
        <v>0.59105033423888154</v>
      </c>
      <c r="J92" s="123">
        <v>13397.6</v>
      </c>
      <c r="K92" s="123">
        <f t="shared" si="9"/>
        <v>13897.925333440002</v>
      </c>
      <c r="L92" s="125">
        <f t="shared" si="10"/>
        <v>125081.32800096001</v>
      </c>
      <c r="M92" s="126">
        <v>9</v>
      </c>
      <c r="N92" s="128">
        <f t="shared" si="11"/>
        <v>54</v>
      </c>
      <c r="O92" s="157">
        <f t="shared" si="8"/>
        <v>2</v>
      </c>
      <c r="P92" s="127"/>
      <c r="Q92" s="104"/>
      <c r="R92" s="104"/>
      <c r="S92" s="104">
        <v>3</v>
      </c>
      <c r="T92" s="104"/>
    </row>
    <row r="93" spans="1:20" ht="23.25" customHeight="1">
      <c r="A93" s="134" t="s">
        <v>919</v>
      </c>
      <c r="B93" s="101">
        <v>201</v>
      </c>
      <c r="C93" s="102" t="s">
        <v>601</v>
      </c>
      <c r="D93" s="103" t="s">
        <v>871</v>
      </c>
      <c r="E93" s="102" t="s">
        <v>799</v>
      </c>
      <c r="F93" s="123">
        <v>3502</v>
      </c>
      <c r="G93" s="123">
        <v>2293</v>
      </c>
      <c r="H93" s="105">
        <v>0.19999999999999996</v>
      </c>
      <c r="I93" s="106">
        <v>0.47618503712164473</v>
      </c>
      <c r="J93" s="123">
        <v>1834.4</v>
      </c>
      <c r="K93" s="123">
        <f t="shared" si="9"/>
        <v>1902.9045673600001</v>
      </c>
      <c r="L93" s="125">
        <f t="shared" si="10"/>
        <v>106562.65577216001</v>
      </c>
      <c r="M93" s="126">
        <v>56</v>
      </c>
      <c r="N93" s="128">
        <f t="shared" si="11"/>
        <v>336</v>
      </c>
      <c r="O93" s="157">
        <f t="shared" si="8"/>
        <v>14</v>
      </c>
      <c r="P93" s="127"/>
      <c r="Q93" s="104"/>
      <c r="R93" s="104"/>
      <c r="S93" s="104">
        <v>2</v>
      </c>
      <c r="T93" s="104"/>
    </row>
    <row r="94" spans="1:20" ht="23.25" customHeight="1">
      <c r="A94" s="134" t="s">
        <v>919</v>
      </c>
      <c r="B94" s="145">
        <v>203</v>
      </c>
      <c r="C94" s="146" t="s">
        <v>937</v>
      </c>
      <c r="D94" s="147" t="s">
        <v>942</v>
      </c>
      <c r="E94" s="146" t="s">
        <v>799</v>
      </c>
      <c r="F94" s="123"/>
      <c r="G94" s="123"/>
      <c r="H94" s="105"/>
      <c r="I94" s="106"/>
      <c r="J94" s="123"/>
      <c r="K94" s="155">
        <f>11748*(1+$K$1)</f>
        <v>12186.722011200001</v>
      </c>
      <c r="L94" s="125">
        <f t="shared" si="10"/>
        <v>24373.444022400003</v>
      </c>
      <c r="M94" s="150">
        <v>2</v>
      </c>
      <c r="N94" s="128">
        <f t="shared" si="11"/>
        <v>12</v>
      </c>
      <c r="O94" s="157">
        <f t="shared" si="8"/>
        <v>1</v>
      </c>
      <c r="P94" s="127"/>
      <c r="Q94" s="104"/>
      <c r="R94" s="104"/>
      <c r="S94" s="104">
        <v>2</v>
      </c>
      <c r="T94" s="104"/>
    </row>
    <row r="95" spans="1:20" ht="23.25" customHeight="1">
      <c r="A95" s="134" t="s">
        <v>919</v>
      </c>
      <c r="B95" s="101">
        <v>205</v>
      </c>
      <c r="C95" s="102" t="s">
        <v>604</v>
      </c>
      <c r="D95" s="103" t="s">
        <v>872</v>
      </c>
      <c r="E95" s="102" t="s">
        <v>799</v>
      </c>
      <c r="F95" s="123">
        <v>6310</v>
      </c>
      <c r="G95" s="123">
        <v>2242</v>
      </c>
      <c r="H95" s="105">
        <v>0.20000000000000004</v>
      </c>
      <c r="I95" s="106">
        <v>0.71575277337559429</v>
      </c>
      <c r="J95" s="123">
        <v>1793.6</v>
      </c>
      <c r="K95" s="123">
        <f t="shared" si="9"/>
        <v>1860.58091584</v>
      </c>
      <c r="L95" s="125">
        <f t="shared" si="10"/>
        <v>106053.11220288</v>
      </c>
      <c r="M95" s="126">
        <v>57</v>
      </c>
      <c r="N95" s="128">
        <f t="shared" si="11"/>
        <v>342</v>
      </c>
      <c r="O95" s="157">
        <f t="shared" si="8"/>
        <v>14</v>
      </c>
      <c r="P95" s="127"/>
      <c r="Q95" s="104"/>
      <c r="R95" s="104">
        <v>16</v>
      </c>
      <c r="S95" s="104">
        <v>13</v>
      </c>
      <c r="T95" s="104"/>
    </row>
    <row r="96" spans="1:20" ht="23.25" customHeight="1">
      <c r="A96" s="134" t="s">
        <v>919</v>
      </c>
      <c r="B96" s="101">
        <v>207</v>
      </c>
      <c r="C96" s="102" t="s">
        <v>607</v>
      </c>
      <c r="D96" s="103" t="s">
        <v>873</v>
      </c>
      <c r="E96" s="102" t="s">
        <v>799</v>
      </c>
      <c r="F96" s="123">
        <v>3306</v>
      </c>
      <c r="G96" s="123">
        <v>1492</v>
      </c>
      <c r="H96" s="105">
        <v>0.20000000000000007</v>
      </c>
      <c r="I96" s="106">
        <v>0.63895946763460376</v>
      </c>
      <c r="J96" s="123">
        <v>1193.5999999999999</v>
      </c>
      <c r="K96" s="123">
        <f t="shared" si="9"/>
        <v>1238.1742758400001</v>
      </c>
      <c r="L96" s="125">
        <f t="shared" si="10"/>
        <v>136199.1703424</v>
      </c>
      <c r="M96" s="126">
        <v>110</v>
      </c>
      <c r="N96" s="128">
        <f t="shared" si="11"/>
        <v>660</v>
      </c>
      <c r="O96" s="157">
        <f t="shared" si="8"/>
        <v>28</v>
      </c>
      <c r="P96" s="127"/>
      <c r="Q96" s="104"/>
      <c r="R96" s="104">
        <v>67</v>
      </c>
      <c r="S96" s="104">
        <v>85</v>
      </c>
      <c r="T96" s="104"/>
    </row>
    <row r="97" spans="1:20" ht="23.25" customHeight="1">
      <c r="A97" s="134" t="s">
        <v>919</v>
      </c>
      <c r="B97" s="101">
        <v>211</v>
      </c>
      <c r="C97" s="102" t="s">
        <v>610</v>
      </c>
      <c r="D97" s="103" t="s">
        <v>874</v>
      </c>
      <c r="E97" s="102" t="s">
        <v>799</v>
      </c>
      <c r="F97" s="123">
        <v>3434</v>
      </c>
      <c r="G97" s="123">
        <v>1683</v>
      </c>
      <c r="H97" s="105">
        <v>0.19999999999999996</v>
      </c>
      <c r="I97" s="106">
        <v>0.60792079207920791</v>
      </c>
      <c r="J97" s="123">
        <v>1346.4</v>
      </c>
      <c r="K97" s="123">
        <f t="shared" si="9"/>
        <v>1396.6805001600001</v>
      </c>
      <c r="L97" s="125">
        <f t="shared" si="10"/>
        <v>27933.610003200003</v>
      </c>
      <c r="M97" s="126">
        <v>20</v>
      </c>
      <c r="N97" s="128">
        <f t="shared" si="11"/>
        <v>120</v>
      </c>
      <c r="O97" s="157">
        <f t="shared" si="8"/>
        <v>5</v>
      </c>
      <c r="P97" s="127"/>
      <c r="Q97" s="104"/>
      <c r="R97" s="104"/>
      <c r="S97" s="104">
        <v>0</v>
      </c>
      <c r="T97" s="104"/>
    </row>
    <row r="98" spans="1:20" ht="23.25" customHeight="1">
      <c r="A98" s="134" t="s">
        <v>919</v>
      </c>
      <c r="B98" s="101">
        <v>232</v>
      </c>
      <c r="C98" s="102" t="s">
        <v>613</v>
      </c>
      <c r="D98" s="113" t="s">
        <v>875</v>
      </c>
      <c r="E98" s="102" t="s">
        <v>876</v>
      </c>
      <c r="F98" s="123">
        <v>13444</v>
      </c>
      <c r="G98" s="123">
        <v>10854</v>
      </c>
      <c r="H98" s="105">
        <v>0.25</v>
      </c>
      <c r="I98" s="106">
        <v>0.39448824754537337</v>
      </c>
      <c r="J98" s="123">
        <v>8140.5</v>
      </c>
      <c r="K98" s="123">
        <f t="shared" si="9"/>
        <v>8444.5020882000008</v>
      </c>
      <c r="L98" s="125">
        <f t="shared" si="10"/>
        <v>380002.59396900004</v>
      </c>
      <c r="M98" s="126">
        <v>45</v>
      </c>
      <c r="N98" s="128">
        <f t="shared" si="11"/>
        <v>270</v>
      </c>
      <c r="O98" s="157">
        <f t="shared" si="8"/>
        <v>11</v>
      </c>
      <c r="P98" s="127"/>
      <c r="Q98" s="104"/>
      <c r="R98" s="104"/>
      <c r="S98" s="104">
        <v>0</v>
      </c>
      <c r="T98" s="104"/>
    </row>
    <row r="99" spans="1:20" ht="23.25" customHeight="1">
      <c r="A99" s="134" t="s">
        <v>919</v>
      </c>
      <c r="B99" s="101">
        <v>245</v>
      </c>
      <c r="C99" s="102" t="s">
        <v>614</v>
      </c>
      <c r="D99" s="113" t="s">
        <v>877</v>
      </c>
      <c r="E99" s="102" t="s">
        <v>799</v>
      </c>
      <c r="F99" s="123">
        <v>53550</v>
      </c>
      <c r="G99" s="123">
        <v>8415</v>
      </c>
      <c r="H99" s="105">
        <v>0.2</v>
      </c>
      <c r="I99" s="106">
        <v>0.87428571428571433</v>
      </c>
      <c r="J99" s="123">
        <v>6732</v>
      </c>
      <c r="K99" s="123">
        <f t="shared" si="9"/>
        <v>6983.4025008000008</v>
      </c>
      <c r="L99" s="125">
        <f t="shared" si="10"/>
        <v>41900.415004800001</v>
      </c>
      <c r="M99" s="126">
        <v>6</v>
      </c>
      <c r="N99" s="128">
        <f t="shared" si="11"/>
        <v>36</v>
      </c>
      <c r="O99" s="157">
        <f t="shared" si="8"/>
        <v>2</v>
      </c>
      <c r="P99" s="127"/>
      <c r="Q99" s="104"/>
      <c r="R99" s="104">
        <v>10</v>
      </c>
      <c r="S99" s="104">
        <v>0</v>
      </c>
      <c r="T99" s="104"/>
    </row>
    <row r="100" spans="1:20" ht="23.25" customHeight="1">
      <c r="A100" s="134" t="s">
        <v>919</v>
      </c>
      <c r="B100" s="101">
        <v>247</v>
      </c>
      <c r="C100" s="102" t="s">
        <v>615</v>
      </c>
      <c r="D100" s="113" t="s">
        <v>878</v>
      </c>
      <c r="E100" s="102" t="s">
        <v>799</v>
      </c>
      <c r="F100" s="123">
        <v>53560</v>
      </c>
      <c r="G100" s="123">
        <v>8415</v>
      </c>
      <c r="H100" s="105">
        <v>0.2</v>
      </c>
      <c r="I100" s="106">
        <v>0.87430918595967144</v>
      </c>
      <c r="J100" s="123">
        <v>6732</v>
      </c>
      <c r="K100" s="123">
        <f t="shared" si="9"/>
        <v>6983.4025008000008</v>
      </c>
      <c r="L100" s="125">
        <f t="shared" si="10"/>
        <v>48883.817505600004</v>
      </c>
      <c r="M100" s="126">
        <v>7</v>
      </c>
      <c r="N100" s="128">
        <f t="shared" si="11"/>
        <v>42</v>
      </c>
      <c r="O100" s="157">
        <f t="shared" si="8"/>
        <v>2</v>
      </c>
      <c r="P100" s="127"/>
      <c r="Q100" s="104"/>
      <c r="R100" s="104">
        <v>5</v>
      </c>
      <c r="S100" s="104">
        <v>0</v>
      </c>
      <c r="T100" s="104"/>
    </row>
    <row r="101" spans="1:20" ht="23.25" customHeight="1">
      <c r="A101" s="134" t="s">
        <v>919</v>
      </c>
      <c r="B101" s="101">
        <v>249</v>
      </c>
      <c r="C101" s="102" t="s">
        <v>618</v>
      </c>
      <c r="D101" s="113" t="s">
        <v>879</v>
      </c>
      <c r="E101" s="102" t="s">
        <v>799</v>
      </c>
      <c r="F101" s="123">
        <v>9365</v>
      </c>
      <c r="G101" s="123">
        <v>4630</v>
      </c>
      <c r="H101" s="105">
        <v>0.2</v>
      </c>
      <c r="I101" s="106">
        <v>0.60448478376935399</v>
      </c>
      <c r="J101" s="123">
        <v>3704</v>
      </c>
      <c r="K101" s="123">
        <f t="shared" si="9"/>
        <v>3842.3236576000004</v>
      </c>
      <c r="L101" s="125">
        <f t="shared" si="10"/>
        <v>38423.236576000003</v>
      </c>
      <c r="M101" s="126">
        <v>10</v>
      </c>
      <c r="N101" s="128">
        <f t="shared" si="11"/>
        <v>60</v>
      </c>
      <c r="O101" s="157">
        <f t="shared" si="8"/>
        <v>3</v>
      </c>
      <c r="P101" s="127"/>
      <c r="Q101" s="131"/>
      <c r="R101" s="104">
        <v>10</v>
      </c>
      <c r="S101" s="104">
        <v>0</v>
      </c>
      <c r="T101" s="104"/>
    </row>
    <row r="102" spans="1:20" ht="23.25" customHeight="1">
      <c r="A102" s="134" t="s">
        <v>919</v>
      </c>
      <c r="B102" s="101">
        <v>280</v>
      </c>
      <c r="C102" s="102" t="s">
        <v>623</v>
      </c>
      <c r="D102" s="113" t="s">
        <v>884</v>
      </c>
      <c r="E102" s="102" t="s">
        <v>799</v>
      </c>
      <c r="F102" s="123">
        <v>54035</v>
      </c>
      <c r="G102" s="123">
        <v>2508</v>
      </c>
      <c r="H102" s="105">
        <v>0.19999999999999996</v>
      </c>
      <c r="I102" s="106">
        <v>0.96286851115018046</v>
      </c>
      <c r="J102" s="123">
        <v>2006.4</v>
      </c>
      <c r="K102" s="123">
        <f t="shared" ref="K102" si="12">+J102*(1+$K$1)</f>
        <v>2081.3278041600001</v>
      </c>
      <c r="L102" s="125">
        <f t="shared" ref="L102" si="13">+K102*M102</f>
        <v>10406.639020800001</v>
      </c>
      <c r="M102" s="126">
        <v>5</v>
      </c>
      <c r="N102" s="128">
        <f t="shared" si="11"/>
        <v>30</v>
      </c>
      <c r="O102" s="157">
        <f t="shared" si="8"/>
        <v>1</v>
      </c>
      <c r="P102" s="127"/>
      <c r="Q102" s="131"/>
      <c r="R102" s="104">
        <v>5</v>
      </c>
      <c r="S102" s="104">
        <v>0</v>
      </c>
      <c r="T102" s="104"/>
    </row>
    <row r="103" spans="1:20" ht="23.25" customHeight="1">
      <c r="A103" s="134" t="s">
        <v>919</v>
      </c>
      <c r="B103" s="114">
        <v>338</v>
      </c>
      <c r="C103" s="110" t="s">
        <v>632</v>
      </c>
      <c r="D103" s="113" t="s">
        <v>891</v>
      </c>
      <c r="E103" s="110" t="s">
        <v>799</v>
      </c>
      <c r="F103" s="124">
        <v>474650</v>
      </c>
      <c r="G103" s="124">
        <v>18654</v>
      </c>
      <c r="H103" s="115">
        <v>0.19999999999999996</v>
      </c>
      <c r="I103" s="116">
        <v>0.96855957020962813</v>
      </c>
      <c r="J103" s="124">
        <v>14923.2</v>
      </c>
      <c r="K103" s="123">
        <v>15480.497950080002</v>
      </c>
      <c r="L103" s="125">
        <v>118580.61429761282</v>
      </c>
      <c r="M103" s="126">
        <v>45.96</v>
      </c>
      <c r="N103" s="129">
        <v>0</v>
      </c>
      <c r="O103" s="157"/>
      <c r="P103" s="127"/>
      <c r="Q103" s="104"/>
      <c r="R103" s="104">
        <v>46</v>
      </c>
      <c r="S103" s="104">
        <v>0</v>
      </c>
      <c r="T103" s="104"/>
    </row>
    <row r="104" spans="1:20" ht="23.25" customHeight="1">
      <c r="A104" s="134" t="s">
        <v>919</v>
      </c>
      <c r="B104" s="114">
        <v>339</v>
      </c>
      <c r="C104" s="110" t="s">
        <v>633</v>
      </c>
      <c r="D104" s="113" t="s">
        <v>892</v>
      </c>
      <c r="E104" s="110" t="s">
        <v>799</v>
      </c>
      <c r="F104" s="124">
        <v>525664</v>
      </c>
      <c r="G104" s="124">
        <v>17639</v>
      </c>
      <c r="H104" s="115">
        <v>0.19999999999999996</v>
      </c>
      <c r="I104" s="116">
        <v>0.97315547574115779</v>
      </c>
      <c r="J104" s="124">
        <v>14111.2</v>
      </c>
      <c r="K104" s="123">
        <v>14638.174297280002</v>
      </c>
      <c r="L104" s="125">
        <v>9661.195036204801</v>
      </c>
      <c r="M104" s="126">
        <v>3.96</v>
      </c>
      <c r="N104" s="129">
        <v>0</v>
      </c>
      <c r="O104" s="157"/>
      <c r="P104" s="127"/>
      <c r="Q104" s="104"/>
      <c r="R104" s="104">
        <v>4</v>
      </c>
      <c r="S104" s="104">
        <v>0</v>
      </c>
      <c r="T104" s="104"/>
    </row>
    <row r="105" spans="1:20" ht="23.25" customHeight="1">
      <c r="A105" s="134" t="s">
        <v>919</v>
      </c>
      <c r="B105" s="114">
        <v>340</v>
      </c>
      <c r="C105" s="110" t="s">
        <v>634</v>
      </c>
      <c r="D105" s="113" t="s">
        <v>893</v>
      </c>
      <c r="E105" s="110" t="s">
        <v>799</v>
      </c>
      <c r="F105" s="124">
        <v>1029302</v>
      </c>
      <c r="G105" s="124">
        <v>36285</v>
      </c>
      <c r="H105" s="115">
        <v>0.2</v>
      </c>
      <c r="I105" s="116">
        <v>0.97179836432844779</v>
      </c>
      <c r="J105" s="124">
        <v>29028</v>
      </c>
      <c r="K105" s="123">
        <v>30112.033243200003</v>
      </c>
      <c r="L105" s="125">
        <v>15056.016621600002</v>
      </c>
      <c r="M105" s="126">
        <v>3</v>
      </c>
      <c r="N105" s="129">
        <v>0</v>
      </c>
      <c r="O105" s="157"/>
      <c r="P105" s="127"/>
      <c r="Q105" s="104"/>
      <c r="R105" s="104">
        <v>3</v>
      </c>
      <c r="S105" s="104">
        <v>0</v>
      </c>
      <c r="T105" s="104"/>
    </row>
    <row r="106" spans="1:20" ht="23.25" customHeight="1">
      <c r="A106" s="134" t="s">
        <v>919</v>
      </c>
      <c r="B106" s="145">
        <v>342</v>
      </c>
      <c r="C106" s="146" t="s">
        <v>939</v>
      </c>
      <c r="D106" s="156" t="s">
        <v>943</v>
      </c>
      <c r="E106" s="146" t="s">
        <v>799</v>
      </c>
      <c r="F106" s="124"/>
      <c r="G106" s="124"/>
      <c r="H106" s="115"/>
      <c r="I106" s="116"/>
      <c r="J106" s="124"/>
      <c r="K106" s="155">
        <f>35957*(1+$K$1)</f>
        <v>37299.792590800003</v>
      </c>
      <c r="L106" s="125">
        <f t="shared" ref="L106" si="14">+K106*M106</f>
        <v>1864989.6295400001</v>
      </c>
      <c r="M106" s="150">
        <v>50</v>
      </c>
      <c r="N106" s="128">
        <f t="shared" ref="N106" si="15">+M106*6</f>
        <v>300</v>
      </c>
      <c r="O106" s="157">
        <f t="shared" si="8"/>
        <v>13</v>
      </c>
      <c r="P106" s="127"/>
      <c r="Q106" s="104"/>
      <c r="R106" s="104"/>
      <c r="S106" s="104">
        <v>0</v>
      </c>
      <c r="T106" s="104"/>
    </row>
    <row r="107" spans="1:20" ht="23.25" customHeight="1">
      <c r="A107" s="134" t="s">
        <v>919</v>
      </c>
      <c r="B107" s="101">
        <v>349</v>
      </c>
      <c r="C107" s="102" t="s">
        <v>635</v>
      </c>
      <c r="D107" s="113" t="s">
        <v>894</v>
      </c>
      <c r="E107" s="102" t="s">
        <v>799</v>
      </c>
      <c r="F107" s="123">
        <v>34218</v>
      </c>
      <c r="G107" s="123">
        <v>1071</v>
      </c>
      <c r="H107" s="105">
        <v>0.20000000000000004</v>
      </c>
      <c r="I107" s="106">
        <v>0.97496054708048396</v>
      </c>
      <c r="J107" s="123">
        <v>856.8</v>
      </c>
      <c r="K107" s="123">
        <f t="shared" ref="K107:K135" si="16">+J107*(1+$K$1)</f>
        <v>888.79668191999997</v>
      </c>
      <c r="L107" s="125">
        <f t="shared" ref="L107:L135" si="17">+K107*M107</f>
        <v>73770.124599360002</v>
      </c>
      <c r="M107" s="126">
        <v>83</v>
      </c>
      <c r="N107" s="128">
        <f t="shared" si="11"/>
        <v>498</v>
      </c>
      <c r="O107" s="157">
        <f t="shared" si="8"/>
        <v>21</v>
      </c>
      <c r="P107" s="127"/>
      <c r="Q107" s="104"/>
      <c r="R107" s="104">
        <v>83</v>
      </c>
      <c r="S107" s="104">
        <v>0</v>
      </c>
      <c r="T107" s="104"/>
    </row>
    <row r="108" spans="1:20" ht="23.25" customHeight="1">
      <c r="A108" s="134" t="s">
        <v>919</v>
      </c>
      <c r="B108" s="101">
        <v>351</v>
      </c>
      <c r="C108" s="102" t="s">
        <v>636</v>
      </c>
      <c r="D108" s="113" t="s">
        <v>895</v>
      </c>
      <c r="E108" s="102" t="s">
        <v>799</v>
      </c>
      <c r="F108" s="123">
        <v>132735</v>
      </c>
      <c r="G108" s="123">
        <v>4712</v>
      </c>
      <c r="H108" s="105">
        <v>0.2</v>
      </c>
      <c r="I108" s="106">
        <v>0.97160055750178931</v>
      </c>
      <c r="J108" s="123">
        <v>3769.6</v>
      </c>
      <c r="K108" s="123">
        <f t="shared" si="16"/>
        <v>3910.3734502400002</v>
      </c>
      <c r="L108" s="125">
        <f t="shared" si="17"/>
        <v>39103.734502400002</v>
      </c>
      <c r="M108" s="126">
        <v>10</v>
      </c>
      <c r="N108" s="128">
        <f t="shared" si="11"/>
        <v>60</v>
      </c>
      <c r="O108" s="157">
        <f t="shared" si="8"/>
        <v>3</v>
      </c>
      <c r="P108" s="127"/>
      <c r="Q108" s="104"/>
      <c r="R108" s="104">
        <v>10</v>
      </c>
      <c r="S108" s="104">
        <v>0</v>
      </c>
      <c r="T108" s="104"/>
    </row>
    <row r="109" spans="1:20" ht="23.25" customHeight="1">
      <c r="A109" s="134" t="s">
        <v>919</v>
      </c>
      <c r="B109" s="101">
        <v>354</v>
      </c>
      <c r="C109" s="102" t="s">
        <v>637</v>
      </c>
      <c r="D109" s="113" t="s">
        <v>896</v>
      </c>
      <c r="E109" s="102" t="s">
        <v>799</v>
      </c>
      <c r="F109" s="123">
        <v>127521</v>
      </c>
      <c r="G109" s="123">
        <v>4136</v>
      </c>
      <c r="H109" s="105">
        <v>0.19999999999999996</v>
      </c>
      <c r="I109" s="106">
        <v>0.97405290109080078</v>
      </c>
      <c r="J109" s="123">
        <v>3308.8</v>
      </c>
      <c r="K109" s="123">
        <f t="shared" si="16"/>
        <v>3432.3651507200002</v>
      </c>
      <c r="L109" s="125">
        <f t="shared" si="17"/>
        <v>68647.303014400008</v>
      </c>
      <c r="M109" s="126">
        <v>20</v>
      </c>
      <c r="N109" s="128">
        <f t="shared" si="11"/>
        <v>120</v>
      </c>
      <c r="O109" s="157">
        <f t="shared" si="8"/>
        <v>5</v>
      </c>
      <c r="P109" s="127"/>
      <c r="Q109" s="104"/>
      <c r="R109" s="104">
        <v>20</v>
      </c>
      <c r="S109" s="104">
        <v>0</v>
      </c>
      <c r="T109" s="104"/>
    </row>
    <row r="110" spans="1:20" ht="23.25" customHeight="1">
      <c r="A110" s="134" t="s">
        <v>919</v>
      </c>
      <c r="B110" s="101">
        <v>357</v>
      </c>
      <c r="C110" s="102" t="s">
        <v>638</v>
      </c>
      <c r="D110" s="113" t="s">
        <v>897</v>
      </c>
      <c r="E110" s="102" t="s">
        <v>799</v>
      </c>
      <c r="F110" s="123">
        <v>115576</v>
      </c>
      <c r="G110" s="123">
        <v>2827</v>
      </c>
      <c r="H110" s="105">
        <v>0.20000000000000004</v>
      </c>
      <c r="I110" s="106">
        <v>0.98043192358275078</v>
      </c>
      <c r="J110" s="123">
        <v>2261.6</v>
      </c>
      <c r="K110" s="123">
        <f t="shared" si="16"/>
        <v>2346.0580950399999</v>
      </c>
      <c r="L110" s="125">
        <f t="shared" si="17"/>
        <v>58651.452376000001</v>
      </c>
      <c r="M110" s="126">
        <v>25</v>
      </c>
      <c r="N110" s="128">
        <f t="shared" si="11"/>
        <v>150</v>
      </c>
      <c r="O110" s="157">
        <f t="shared" si="8"/>
        <v>6</v>
      </c>
      <c r="P110" s="127"/>
      <c r="Q110" s="104"/>
      <c r="R110" s="104">
        <v>25</v>
      </c>
      <c r="S110" s="104">
        <v>0</v>
      </c>
      <c r="T110" s="104"/>
    </row>
    <row r="111" spans="1:20" ht="23.25" customHeight="1">
      <c r="A111" s="134" t="s">
        <v>919</v>
      </c>
      <c r="B111" s="101">
        <v>360</v>
      </c>
      <c r="C111" s="102" t="s">
        <v>639</v>
      </c>
      <c r="D111" s="113" t="s">
        <v>898</v>
      </c>
      <c r="E111" s="102" t="s">
        <v>799</v>
      </c>
      <c r="F111" s="123">
        <v>46558</v>
      </c>
      <c r="G111" s="123">
        <v>6016</v>
      </c>
      <c r="H111" s="105">
        <v>0.25</v>
      </c>
      <c r="I111" s="106">
        <v>0.90308862064521667</v>
      </c>
      <c r="J111" s="123">
        <v>4512</v>
      </c>
      <c r="K111" s="123">
        <f t="shared" si="16"/>
        <v>4680.4979327999999</v>
      </c>
      <c r="L111" s="125">
        <f t="shared" si="17"/>
        <v>351037.34496000002</v>
      </c>
      <c r="M111" s="126">
        <v>75</v>
      </c>
      <c r="N111" s="128">
        <f t="shared" si="11"/>
        <v>450</v>
      </c>
      <c r="O111" s="157">
        <f t="shared" si="8"/>
        <v>19</v>
      </c>
      <c r="P111" s="127"/>
      <c r="Q111" s="131"/>
      <c r="R111" s="131">
        <v>75</v>
      </c>
      <c r="S111" s="104">
        <v>0</v>
      </c>
      <c r="T111" s="104"/>
    </row>
    <row r="112" spans="1:20" ht="23.25" customHeight="1">
      <c r="A112" s="134" t="s">
        <v>919</v>
      </c>
      <c r="B112" s="145">
        <v>379</v>
      </c>
      <c r="C112" s="146" t="s">
        <v>938</v>
      </c>
      <c r="D112" s="156" t="s">
        <v>944</v>
      </c>
      <c r="E112" s="146" t="s">
        <v>799</v>
      </c>
      <c r="F112" s="123"/>
      <c r="G112" s="123"/>
      <c r="H112" s="105"/>
      <c r="I112" s="106"/>
      <c r="J112" s="123"/>
      <c r="K112" s="155">
        <f>307066*(1+$K$1)</f>
        <v>318533.19553040003</v>
      </c>
      <c r="L112" s="125">
        <f t="shared" si="17"/>
        <v>7963329.8882600004</v>
      </c>
      <c r="M112" s="150">
        <v>25</v>
      </c>
      <c r="N112" s="128">
        <f t="shared" si="11"/>
        <v>150</v>
      </c>
      <c r="O112" s="157">
        <f t="shared" si="8"/>
        <v>6</v>
      </c>
      <c r="P112" s="130"/>
      <c r="Q112" s="135"/>
      <c r="R112" s="135"/>
      <c r="S112" s="104">
        <v>0</v>
      </c>
      <c r="T112" s="104"/>
    </row>
    <row r="113" spans="1:20" ht="23.25" customHeight="1">
      <c r="A113" s="136" t="s">
        <v>918</v>
      </c>
      <c r="B113" s="137">
        <v>264</v>
      </c>
      <c r="C113" s="138" t="s">
        <v>619</v>
      </c>
      <c r="D113" s="139" t="s">
        <v>880</v>
      </c>
      <c r="E113" s="138" t="s">
        <v>799</v>
      </c>
      <c r="F113" s="140">
        <v>5627</v>
      </c>
      <c r="G113" s="140">
        <v>670</v>
      </c>
      <c r="H113" s="141">
        <v>0.2</v>
      </c>
      <c r="I113" s="142">
        <v>0.90474497956282207</v>
      </c>
      <c r="J113" s="140">
        <v>536</v>
      </c>
      <c r="K113" s="140">
        <f t="shared" ref="K113:K122" si="18">+J113*(1+$K$1)</f>
        <v>556.01659840000002</v>
      </c>
      <c r="L113" s="143">
        <f t="shared" ref="L113:L122" si="19">+K113*M113</f>
        <v>5560.1659840000002</v>
      </c>
      <c r="M113" s="144">
        <v>10</v>
      </c>
      <c r="N113" s="144">
        <f t="shared" ref="N113:N122" si="20">+M113*6</f>
        <v>60</v>
      </c>
      <c r="O113" s="157">
        <f t="shared" si="8"/>
        <v>3</v>
      </c>
      <c r="P113" s="130"/>
      <c r="Q113" s="94">
        <v>10</v>
      </c>
      <c r="R113" s="154">
        <v>10</v>
      </c>
      <c r="S113" s="165">
        <v>0</v>
      </c>
      <c r="T113" s="104"/>
    </row>
    <row r="114" spans="1:20" ht="23.25" customHeight="1">
      <c r="A114" s="136" t="s">
        <v>918</v>
      </c>
      <c r="B114" s="137">
        <v>266</v>
      </c>
      <c r="C114" s="138" t="s">
        <v>620</v>
      </c>
      <c r="D114" s="139" t="s">
        <v>881</v>
      </c>
      <c r="E114" s="138" t="s">
        <v>799</v>
      </c>
      <c r="F114" s="140">
        <v>5831</v>
      </c>
      <c r="G114" s="140">
        <v>1204</v>
      </c>
      <c r="H114" s="141">
        <v>0.19999999999999996</v>
      </c>
      <c r="I114" s="142">
        <v>0.83481392557022804</v>
      </c>
      <c r="J114" s="140">
        <v>963.2</v>
      </c>
      <c r="K114" s="140">
        <f t="shared" si="18"/>
        <v>999.17012608000005</v>
      </c>
      <c r="L114" s="143">
        <f t="shared" si="19"/>
        <v>33971.784286720002</v>
      </c>
      <c r="M114" s="144">
        <v>34</v>
      </c>
      <c r="N114" s="144">
        <f t="shared" si="20"/>
        <v>204</v>
      </c>
      <c r="O114" s="157">
        <f t="shared" si="8"/>
        <v>9</v>
      </c>
      <c r="P114" s="130"/>
      <c r="Q114" s="153">
        <v>15</v>
      </c>
      <c r="R114" s="154">
        <v>25</v>
      </c>
      <c r="S114" s="165">
        <v>0</v>
      </c>
      <c r="T114" s="104"/>
    </row>
    <row r="115" spans="1:20" ht="23.25" customHeight="1">
      <c r="A115" s="136" t="s">
        <v>918</v>
      </c>
      <c r="B115" s="137">
        <v>272</v>
      </c>
      <c r="C115" s="138" t="s">
        <v>621</v>
      </c>
      <c r="D115" s="139" t="s">
        <v>882</v>
      </c>
      <c r="E115" s="138" t="s">
        <v>799</v>
      </c>
      <c r="F115" s="140">
        <v>3389</v>
      </c>
      <c r="G115" s="140">
        <v>819</v>
      </c>
      <c r="H115" s="141">
        <v>0.19999999999999996</v>
      </c>
      <c r="I115" s="142">
        <v>0.80666863381528475</v>
      </c>
      <c r="J115" s="140">
        <v>655.20000000000005</v>
      </c>
      <c r="K115" s="140">
        <f t="shared" si="18"/>
        <v>679.66805088000012</v>
      </c>
      <c r="L115" s="143">
        <f t="shared" si="19"/>
        <v>6796.680508800001</v>
      </c>
      <c r="M115" s="144">
        <v>10</v>
      </c>
      <c r="N115" s="144">
        <f t="shared" si="20"/>
        <v>60</v>
      </c>
      <c r="O115" s="157">
        <f t="shared" si="8"/>
        <v>3</v>
      </c>
      <c r="P115" s="130"/>
      <c r="Q115" s="154"/>
      <c r="R115" s="154">
        <v>10</v>
      </c>
      <c r="S115" s="165">
        <v>0</v>
      </c>
      <c r="T115" s="104"/>
    </row>
    <row r="116" spans="1:20" ht="23.25" customHeight="1">
      <c r="A116" s="136" t="s">
        <v>918</v>
      </c>
      <c r="B116" s="137">
        <v>276</v>
      </c>
      <c r="C116" s="138" t="s">
        <v>622</v>
      </c>
      <c r="D116" s="139" t="s">
        <v>883</v>
      </c>
      <c r="E116" s="138" t="s">
        <v>799</v>
      </c>
      <c r="F116" s="140">
        <v>6832</v>
      </c>
      <c r="G116" s="140">
        <v>1885</v>
      </c>
      <c r="H116" s="141">
        <v>0.2</v>
      </c>
      <c r="I116" s="142">
        <v>0.77927400468384078</v>
      </c>
      <c r="J116" s="140">
        <v>1508</v>
      </c>
      <c r="K116" s="140">
        <f t="shared" si="18"/>
        <v>1564.3153552000001</v>
      </c>
      <c r="L116" s="143">
        <f t="shared" si="19"/>
        <v>15643.153552000002</v>
      </c>
      <c r="M116" s="144">
        <v>10</v>
      </c>
      <c r="N116" s="144">
        <f t="shared" si="20"/>
        <v>60</v>
      </c>
      <c r="O116" s="157">
        <f t="shared" si="8"/>
        <v>3</v>
      </c>
      <c r="P116" s="130"/>
      <c r="Q116" s="154"/>
      <c r="R116" s="154">
        <v>10</v>
      </c>
      <c r="S116" s="165">
        <v>0</v>
      </c>
      <c r="T116" s="104"/>
    </row>
    <row r="117" spans="1:20" ht="23.25" customHeight="1">
      <c r="A117" s="136" t="s">
        <v>918</v>
      </c>
      <c r="B117" s="137">
        <v>283</v>
      </c>
      <c r="C117" s="138" t="s">
        <v>626</v>
      </c>
      <c r="D117" s="139" t="s">
        <v>885</v>
      </c>
      <c r="E117" s="138" t="s">
        <v>799</v>
      </c>
      <c r="F117" s="140">
        <v>32697</v>
      </c>
      <c r="G117" s="140">
        <v>13258</v>
      </c>
      <c r="H117" s="141">
        <v>0.25</v>
      </c>
      <c r="I117" s="142">
        <v>0.69588953114964669</v>
      </c>
      <c r="J117" s="140">
        <v>9943.5</v>
      </c>
      <c r="K117" s="140">
        <f t="shared" si="18"/>
        <v>10314.834041400001</v>
      </c>
      <c r="L117" s="143">
        <f t="shared" si="19"/>
        <v>722038.38289800007</v>
      </c>
      <c r="M117" s="144">
        <v>70</v>
      </c>
      <c r="N117" s="144">
        <f t="shared" si="20"/>
        <v>420</v>
      </c>
      <c r="O117" s="157">
        <f t="shared" si="8"/>
        <v>18</v>
      </c>
      <c r="P117" s="130"/>
      <c r="Q117" s="153">
        <v>51</v>
      </c>
      <c r="R117" s="154">
        <v>25</v>
      </c>
      <c r="S117" s="165">
        <v>0</v>
      </c>
      <c r="T117" s="104"/>
    </row>
    <row r="118" spans="1:20" ht="23.25" customHeight="1">
      <c r="A118" s="136" t="s">
        <v>918</v>
      </c>
      <c r="B118" s="137">
        <v>287</v>
      </c>
      <c r="C118" s="138" t="s">
        <v>627</v>
      </c>
      <c r="D118" s="139" t="s">
        <v>886</v>
      </c>
      <c r="E118" s="138" t="s">
        <v>799</v>
      </c>
      <c r="F118" s="140">
        <v>56864</v>
      </c>
      <c r="G118" s="140">
        <v>25874</v>
      </c>
      <c r="H118" s="141">
        <v>0.25</v>
      </c>
      <c r="I118" s="142">
        <v>0.65873839335959483</v>
      </c>
      <c r="J118" s="140">
        <v>19405.5</v>
      </c>
      <c r="K118" s="140">
        <f t="shared" si="18"/>
        <v>20130.1867542</v>
      </c>
      <c r="L118" s="143">
        <f t="shared" si="19"/>
        <v>865598.03043060005</v>
      </c>
      <c r="M118" s="144">
        <v>43</v>
      </c>
      <c r="N118" s="144">
        <f t="shared" si="20"/>
        <v>258</v>
      </c>
      <c r="O118" s="157">
        <f t="shared" si="8"/>
        <v>11</v>
      </c>
      <c r="P118" s="130"/>
      <c r="Q118" s="154"/>
      <c r="R118" s="154">
        <v>25</v>
      </c>
      <c r="S118" s="165">
        <v>0</v>
      </c>
      <c r="T118" s="104"/>
    </row>
    <row r="119" spans="1:20" ht="23.25" customHeight="1">
      <c r="A119" s="136" t="s">
        <v>918</v>
      </c>
      <c r="B119" s="137">
        <v>291</v>
      </c>
      <c r="C119" s="138" t="s">
        <v>628</v>
      </c>
      <c r="D119" s="139" t="s">
        <v>887</v>
      </c>
      <c r="E119" s="138" t="s">
        <v>799</v>
      </c>
      <c r="F119" s="140">
        <v>15354</v>
      </c>
      <c r="G119" s="140">
        <v>5810</v>
      </c>
      <c r="H119" s="141">
        <v>0.25</v>
      </c>
      <c r="I119" s="142">
        <v>0.71619773348964433</v>
      </c>
      <c r="J119" s="140">
        <v>4357.5</v>
      </c>
      <c r="K119" s="140">
        <f t="shared" si="18"/>
        <v>4520.2282230000001</v>
      </c>
      <c r="L119" s="143">
        <f t="shared" si="19"/>
        <v>167248.44425100001</v>
      </c>
      <c r="M119" s="144">
        <v>37</v>
      </c>
      <c r="N119" s="144">
        <f t="shared" si="20"/>
        <v>222</v>
      </c>
      <c r="O119" s="157">
        <f t="shared" si="8"/>
        <v>9</v>
      </c>
      <c r="P119" s="130"/>
      <c r="Q119" s="153">
        <v>4</v>
      </c>
      <c r="R119" s="154">
        <v>37</v>
      </c>
      <c r="S119" s="165">
        <v>0</v>
      </c>
      <c r="T119" s="104"/>
    </row>
    <row r="120" spans="1:20" ht="23.25" customHeight="1">
      <c r="A120" s="136" t="s">
        <v>918</v>
      </c>
      <c r="B120" s="137">
        <v>297</v>
      </c>
      <c r="C120" s="138" t="s">
        <v>629</v>
      </c>
      <c r="D120" s="139" t="s">
        <v>888</v>
      </c>
      <c r="E120" s="138" t="s">
        <v>799</v>
      </c>
      <c r="F120" s="140">
        <v>29853</v>
      </c>
      <c r="G120" s="140">
        <v>9005</v>
      </c>
      <c r="H120" s="141">
        <v>0.2</v>
      </c>
      <c r="I120" s="142">
        <v>0.7586842193414397</v>
      </c>
      <c r="J120" s="140">
        <v>7204</v>
      </c>
      <c r="K120" s="140">
        <f t="shared" si="18"/>
        <v>7473.0290576000007</v>
      </c>
      <c r="L120" s="143">
        <f t="shared" si="19"/>
        <v>59784.232460800005</v>
      </c>
      <c r="M120" s="144">
        <v>8</v>
      </c>
      <c r="N120" s="144">
        <f t="shared" si="20"/>
        <v>48</v>
      </c>
      <c r="O120" s="157">
        <f t="shared" si="8"/>
        <v>2</v>
      </c>
      <c r="P120" s="130"/>
      <c r="Q120" s="153">
        <v>8</v>
      </c>
      <c r="R120" s="154">
        <v>8</v>
      </c>
      <c r="S120" s="165">
        <v>0</v>
      </c>
      <c r="T120" s="104"/>
    </row>
    <row r="121" spans="1:20" ht="23.25" customHeight="1">
      <c r="A121" s="136" t="s">
        <v>918</v>
      </c>
      <c r="B121" s="137">
        <v>301</v>
      </c>
      <c r="C121" s="138" t="s">
        <v>630</v>
      </c>
      <c r="D121" s="139" t="s">
        <v>889</v>
      </c>
      <c r="E121" s="138" t="s">
        <v>799</v>
      </c>
      <c r="F121" s="140">
        <v>12083</v>
      </c>
      <c r="G121" s="140">
        <v>3584</v>
      </c>
      <c r="H121" s="141">
        <v>0.20000000000000004</v>
      </c>
      <c r="I121" s="142">
        <v>0.7627079367706695</v>
      </c>
      <c r="J121" s="140">
        <v>2867.2</v>
      </c>
      <c r="K121" s="140">
        <f t="shared" si="18"/>
        <v>2974.27386368</v>
      </c>
      <c r="L121" s="143">
        <f t="shared" si="19"/>
        <v>5948.54772736</v>
      </c>
      <c r="M121" s="144">
        <v>2</v>
      </c>
      <c r="N121" s="144">
        <f t="shared" si="20"/>
        <v>12</v>
      </c>
      <c r="O121" s="157">
        <f t="shared" si="8"/>
        <v>1</v>
      </c>
      <c r="P121" s="130"/>
      <c r="Q121" s="154"/>
      <c r="R121" s="154">
        <v>2</v>
      </c>
      <c r="S121" s="165">
        <v>0</v>
      </c>
      <c r="T121" s="104"/>
    </row>
    <row r="122" spans="1:20" ht="23.25" customHeight="1">
      <c r="A122" s="136" t="s">
        <v>918</v>
      </c>
      <c r="B122" s="137">
        <v>303</v>
      </c>
      <c r="C122" s="138" t="s">
        <v>631</v>
      </c>
      <c r="D122" s="139" t="s">
        <v>890</v>
      </c>
      <c r="E122" s="138" t="s">
        <v>799</v>
      </c>
      <c r="F122" s="140">
        <v>17770</v>
      </c>
      <c r="G122" s="140">
        <v>10043</v>
      </c>
      <c r="H122" s="141">
        <v>0.20000000000000004</v>
      </c>
      <c r="I122" s="142">
        <v>0.54786719189645472</v>
      </c>
      <c r="J122" s="140">
        <v>8034.4</v>
      </c>
      <c r="K122" s="140">
        <f t="shared" si="18"/>
        <v>8334.4398473599995</v>
      </c>
      <c r="L122" s="143">
        <f t="shared" si="19"/>
        <v>8334.4398473599995</v>
      </c>
      <c r="M122" s="144">
        <v>1</v>
      </c>
      <c r="N122" s="144">
        <f t="shared" si="20"/>
        <v>6</v>
      </c>
      <c r="O122" s="157">
        <f t="shared" si="8"/>
        <v>0</v>
      </c>
      <c r="P122" s="130"/>
      <c r="Q122" s="154"/>
      <c r="R122" s="154">
        <v>1</v>
      </c>
      <c r="S122" s="165">
        <v>0</v>
      </c>
      <c r="T122" s="104"/>
    </row>
    <row r="123" spans="1:20" ht="23.25" customHeight="1">
      <c r="A123" s="136" t="s">
        <v>918</v>
      </c>
      <c r="B123" s="137">
        <v>365</v>
      </c>
      <c r="C123" s="138" t="s">
        <v>640</v>
      </c>
      <c r="D123" s="139" t="s">
        <v>899</v>
      </c>
      <c r="E123" s="138" t="s">
        <v>799</v>
      </c>
      <c r="F123" s="140">
        <v>42648</v>
      </c>
      <c r="G123" s="140">
        <v>21757</v>
      </c>
      <c r="H123" s="141">
        <v>0.20000000000000007</v>
      </c>
      <c r="I123" s="142">
        <v>0.59187769649221544</v>
      </c>
      <c r="J123" s="140">
        <v>17405.599999999999</v>
      </c>
      <c r="K123" s="140">
        <f t="shared" si="16"/>
        <v>18055.601688639999</v>
      </c>
      <c r="L123" s="143">
        <f t="shared" si="17"/>
        <v>72222.406754559997</v>
      </c>
      <c r="M123" s="144">
        <v>4</v>
      </c>
      <c r="N123" s="144">
        <f t="shared" si="11"/>
        <v>24</v>
      </c>
      <c r="O123" s="157">
        <f t="shared" si="8"/>
        <v>1</v>
      </c>
      <c r="P123" s="130"/>
      <c r="Q123" s="153">
        <v>3</v>
      </c>
      <c r="R123" s="154">
        <v>4</v>
      </c>
      <c r="S123" s="165">
        <v>0</v>
      </c>
      <c r="T123" s="104"/>
    </row>
    <row r="124" spans="1:20" ht="23.25" customHeight="1">
      <c r="A124" s="136" t="s">
        <v>918</v>
      </c>
      <c r="B124" s="137">
        <v>367</v>
      </c>
      <c r="C124" s="138" t="s">
        <v>641</v>
      </c>
      <c r="D124" s="139" t="s">
        <v>900</v>
      </c>
      <c r="E124" s="138" t="s">
        <v>799</v>
      </c>
      <c r="F124" s="140">
        <v>48335</v>
      </c>
      <c r="G124" s="140">
        <v>25959</v>
      </c>
      <c r="H124" s="141">
        <v>0.25</v>
      </c>
      <c r="I124" s="142">
        <v>0.59720182062687499</v>
      </c>
      <c r="J124" s="140">
        <v>19469.25</v>
      </c>
      <c r="K124" s="140">
        <f t="shared" si="16"/>
        <v>20196.3174597</v>
      </c>
      <c r="L124" s="143">
        <f t="shared" si="17"/>
        <v>1171386.4126625999</v>
      </c>
      <c r="M124" s="144">
        <v>58</v>
      </c>
      <c r="N124" s="144">
        <f t="shared" si="11"/>
        <v>348</v>
      </c>
      <c r="O124" s="157">
        <f t="shared" si="8"/>
        <v>15</v>
      </c>
      <c r="P124" s="130"/>
      <c r="Q124" s="153">
        <v>47</v>
      </c>
      <c r="R124" s="154">
        <v>58</v>
      </c>
      <c r="S124" s="165">
        <v>0</v>
      </c>
      <c r="T124" s="104"/>
    </row>
    <row r="125" spans="1:20" ht="23.25" customHeight="1">
      <c r="A125" s="136" t="s">
        <v>918</v>
      </c>
      <c r="B125" s="137">
        <v>372</v>
      </c>
      <c r="C125" s="138" t="s">
        <v>642</v>
      </c>
      <c r="D125" s="139" t="s">
        <v>901</v>
      </c>
      <c r="E125" s="138" t="s">
        <v>799</v>
      </c>
      <c r="F125" s="140">
        <v>76767</v>
      </c>
      <c r="G125" s="140">
        <v>26918</v>
      </c>
      <c r="H125" s="141">
        <v>0.25</v>
      </c>
      <c r="I125" s="142">
        <v>0.7370159052717965</v>
      </c>
      <c r="J125" s="140">
        <v>20188.5</v>
      </c>
      <c r="K125" s="140">
        <f t="shared" si="16"/>
        <v>20942.427419400003</v>
      </c>
      <c r="L125" s="143">
        <f t="shared" si="17"/>
        <v>1612566.9112938002</v>
      </c>
      <c r="M125" s="144">
        <v>77</v>
      </c>
      <c r="N125" s="144">
        <f t="shared" si="11"/>
        <v>462</v>
      </c>
      <c r="O125" s="157">
        <f t="shared" si="8"/>
        <v>19</v>
      </c>
      <c r="P125" s="130"/>
      <c r="Q125" s="153">
        <v>37</v>
      </c>
      <c r="R125" s="154">
        <v>28</v>
      </c>
      <c r="S125" s="165">
        <v>0</v>
      </c>
      <c r="T125" s="104"/>
    </row>
    <row r="126" spans="1:20" ht="23.25" customHeight="1">
      <c r="A126" s="136" t="s">
        <v>918</v>
      </c>
      <c r="B126" s="137">
        <v>374</v>
      </c>
      <c r="C126" s="138" t="s">
        <v>643</v>
      </c>
      <c r="D126" s="139" t="s">
        <v>902</v>
      </c>
      <c r="E126" s="138" t="s">
        <v>799</v>
      </c>
      <c r="F126" s="140">
        <v>18480</v>
      </c>
      <c r="G126" s="140">
        <v>3442</v>
      </c>
      <c r="H126" s="141">
        <v>0.20000000000000004</v>
      </c>
      <c r="I126" s="142">
        <v>0.85099567099567097</v>
      </c>
      <c r="J126" s="140">
        <v>2753.6</v>
      </c>
      <c r="K126" s="140">
        <f t="shared" si="16"/>
        <v>2856.4315398399999</v>
      </c>
      <c r="L126" s="143">
        <f t="shared" si="17"/>
        <v>99975.103894400003</v>
      </c>
      <c r="M126" s="144">
        <v>35</v>
      </c>
      <c r="N126" s="144">
        <f t="shared" si="11"/>
        <v>210</v>
      </c>
      <c r="O126" s="157">
        <f t="shared" si="8"/>
        <v>9</v>
      </c>
      <c r="P126" s="130"/>
      <c r="Q126" s="153">
        <v>34</v>
      </c>
      <c r="R126" s="154">
        <v>35</v>
      </c>
      <c r="S126" s="165">
        <v>0</v>
      </c>
      <c r="T126" s="104"/>
    </row>
    <row r="127" spans="1:20" ht="23.25" customHeight="1">
      <c r="A127" s="136" t="s">
        <v>918</v>
      </c>
      <c r="B127" s="137">
        <v>382</v>
      </c>
      <c r="C127" s="138" t="s">
        <v>644</v>
      </c>
      <c r="D127" s="139" t="s">
        <v>903</v>
      </c>
      <c r="E127" s="138" t="s">
        <v>799</v>
      </c>
      <c r="F127" s="140">
        <v>98091</v>
      </c>
      <c r="G127" s="140">
        <v>26759</v>
      </c>
      <c r="H127" s="141">
        <v>0.25</v>
      </c>
      <c r="I127" s="142">
        <v>0.7954017188121234</v>
      </c>
      <c r="J127" s="140">
        <v>20069.25</v>
      </c>
      <c r="K127" s="140">
        <f t="shared" si="16"/>
        <v>20818.724099700001</v>
      </c>
      <c r="L127" s="143">
        <f t="shared" si="17"/>
        <v>249824.6891964</v>
      </c>
      <c r="M127" s="144">
        <v>12</v>
      </c>
      <c r="N127" s="144">
        <f t="shared" si="11"/>
        <v>72</v>
      </c>
      <c r="O127" s="157">
        <f t="shared" si="8"/>
        <v>3</v>
      </c>
      <c r="P127" s="130"/>
      <c r="Q127" s="154"/>
      <c r="R127" s="154">
        <v>11</v>
      </c>
      <c r="S127" s="165">
        <v>0</v>
      </c>
      <c r="T127" s="104"/>
    </row>
    <row r="128" spans="1:20" ht="23.25" customHeight="1">
      <c r="A128" s="136" t="s">
        <v>918</v>
      </c>
      <c r="B128" s="137">
        <v>384</v>
      </c>
      <c r="C128" s="138" t="s">
        <v>645</v>
      </c>
      <c r="D128" s="139" t="s">
        <v>904</v>
      </c>
      <c r="E128" s="138" t="s">
        <v>905</v>
      </c>
      <c r="F128" s="140">
        <v>113728</v>
      </c>
      <c r="G128" s="140">
        <v>73463</v>
      </c>
      <c r="H128" s="141">
        <v>0.25</v>
      </c>
      <c r="I128" s="142">
        <v>0.51553487267867193</v>
      </c>
      <c r="J128" s="140">
        <v>55097.25</v>
      </c>
      <c r="K128" s="140">
        <f t="shared" si="16"/>
        <v>57154.8237429</v>
      </c>
      <c r="L128" s="143">
        <f t="shared" si="17"/>
        <v>628703.06117190002</v>
      </c>
      <c r="M128" s="144">
        <v>11</v>
      </c>
      <c r="N128" s="144">
        <f t="shared" si="11"/>
        <v>66</v>
      </c>
      <c r="O128" s="157">
        <f t="shared" si="8"/>
        <v>3</v>
      </c>
      <c r="P128" s="130"/>
      <c r="Q128" s="153">
        <v>10</v>
      </c>
      <c r="R128" s="154">
        <v>11</v>
      </c>
      <c r="S128" s="165">
        <v>0</v>
      </c>
      <c r="T128" s="104"/>
    </row>
    <row r="129" spans="1:20" ht="23.25" customHeight="1">
      <c r="A129" s="136" t="s">
        <v>918</v>
      </c>
      <c r="B129" s="137">
        <v>386</v>
      </c>
      <c r="C129" s="138" t="s">
        <v>646</v>
      </c>
      <c r="D129" s="139" t="s">
        <v>906</v>
      </c>
      <c r="E129" s="138" t="s">
        <v>799</v>
      </c>
      <c r="F129" s="140">
        <v>120836</v>
      </c>
      <c r="G129" s="140">
        <v>75410</v>
      </c>
      <c r="H129" s="141">
        <v>0.25</v>
      </c>
      <c r="I129" s="142">
        <v>0.53194826045218313</v>
      </c>
      <c r="J129" s="140">
        <v>56557.5</v>
      </c>
      <c r="K129" s="140">
        <f t="shared" si="16"/>
        <v>58669.605903000003</v>
      </c>
      <c r="L129" s="143">
        <f t="shared" si="17"/>
        <v>410687.24132100004</v>
      </c>
      <c r="M129" s="144">
        <v>7</v>
      </c>
      <c r="N129" s="144">
        <f t="shared" si="11"/>
        <v>42</v>
      </c>
      <c r="O129" s="157">
        <f t="shared" si="8"/>
        <v>2</v>
      </c>
      <c r="P129" s="130"/>
      <c r="Q129" s="154"/>
      <c r="R129" s="154">
        <v>7</v>
      </c>
      <c r="S129" s="165">
        <v>0</v>
      </c>
      <c r="T129" s="104"/>
    </row>
    <row r="130" spans="1:20" ht="23.25" customHeight="1">
      <c r="A130" s="136" t="s">
        <v>918</v>
      </c>
      <c r="B130" s="137">
        <v>388</v>
      </c>
      <c r="C130" s="138" t="s">
        <v>647</v>
      </c>
      <c r="D130" s="139" t="s">
        <v>907</v>
      </c>
      <c r="E130" s="138" t="s">
        <v>799</v>
      </c>
      <c r="F130" s="140">
        <v>120836</v>
      </c>
      <c r="G130" s="140">
        <v>116818</v>
      </c>
      <c r="H130" s="141">
        <v>0.25</v>
      </c>
      <c r="I130" s="142">
        <v>0.27493875997219375</v>
      </c>
      <c r="J130" s="140">
        <v>87613.5</v>
      </c>
      <c r="K130" s="140">
        <f t="shared" si="16"/>
        <v>90885.373589399998</v>
      </c>
      <c r="L130" s="143">
        <f t="shared" si="17"/>
        <v>1454165.9774304</v>
      </c>
      <c r="M130" s="144">
        <v>16</v>
      </c>
      <c r="N130" s="144">
        <f t="shared" si="11"/>
        <v>96</v>
      </c>
      <c r="O130" s="157">
        <f t="shared" si="8"/>
        <v>4</v>
      </c>
      <c r="P130" s="130"/>
      <c r="Q130" s="153">
        <v>3</v>
      </c>
      <c r="R130" s="154">
        <v>19</v>
      </c>
      <c r="S130" s="165">
        <v>0</v>
      </c>
      <c r="T130" s="104"/>
    </row>
    <row r="131" spans="1:20" ht="23.25" customHeight="1">
      <c r="A131" s="136" t="s">
        <v>918</v>
      </c>
      <c r="B131" s="137">
        <v>390</v>
      </c>
      <c r="C131" s="138" t="s">
        <v>648</v>
      </c>
      <c r="D131" s="139" t="s">
        <v>908</v>
      </c>
      <c r="E131" s="138" t="s">
        <v>799</v>
      </c>
      <c r="F131" s="140">
        <v>113728</v>
      </c>
      <c r="G131" s="140">
        <v>66522</v>
      </c>
      <c r="H131" s="141">
        <v>0.25</v>
      </c>
      <c r="I131" s="142">
        <v>0.56130856077658975</v>
      </c>
      <c r="J131" s="140">
        <v>49891.5</v>
      </c>
      <c r="K131" s="140">
        <f t="shared" si="16"/>
        <v>51754.668132600003</v>
      </c>
      <c r="L131" s="143">
        <f t="shared" si="17"/>
        <v>258773.34066300001</v>
      </c>
      <c r="M131" s="144">
        <v>5</v>
      </c>
      <c r="N131" s="144">
        <f t="shared" si="11"/>
        <v>30</v>
      </c>
      <c r="O131" s="157">
        <f t="shared" si="8"/>
        <v>1</v>
      </c>
      <c r="P131" s="130"/>
      <c r="Q131" s="153">
        <v>5</v>
      </c>
      <c r="R131" s="154">
        <v>5</v>
      </c>
      <c r="S131" s="165">
        <v>0</v>
      </c>
      <c r="T131" s="104"/>
    </row>
    <row r="132" spans="1:20" ht="23.25" customHeight="1">
      <c r="A132" s="136" t="s">
        <v>918</v>
      </c>
      <c r="B132" s="137">
        <v>394</v>
      </c>
      <c r="C132" s="138" t="s">
        <v>649</v>
      </c>
      <c r="D132" s="139" t="s">
        <v>909</v>
      </c>
      <c r="E132" s="138" t="s">
        <v>799</v>
      </c>
      <c r="F132" s="140">
        <v>106620</v>
      </c>
      <c r="G132" s="140">
        <v>87259</v>
      </c>
      <c r="H132" s="141">
        <v>0.25</v>
      </c>
      <c r="I132" s="142">
        <v>0.38619161508159816</v>
      </c>
      <c r="J132" s="140">
        <v>65444.25</v>
      </c>
      <c r="K132" s="140">
        <f t="shared" si="16"/>
        <v>67888.226249700005</v>
      </c>
      <c r="L132" s="143">
        <f t="shared" si="17"/>
        <v>407329.35749820003</v>
      </c>
      <c r="M132" s="144">
        <v>6</v>
      </c>
      <c r="N132" s="144">
        <f t="shared" si="11"/>
        <v>36</v>
      </c>
      <c r="O132" s="157">
        <f t="shared" ref="O132:O135" si="21">+ROUND(M132*25%,0)</f>
        <v>2</v>
      </c>
      <c r="P132" s="130"/>
      <c r="Q132" s="154"/>
      <c r="R132" s="154">
        <v>6</v>
      </c>
      <c r="S132" s="165">
        <v>0</v>
      </c>
      <c r="T132" s="104"/>
    </row>
    <row r="133" spans="1:20" ht="23.25" customHeight="1">
      <c r="A133" s="136" t="s">
        <v>918</v>
      </c>
      <c r="B133" s="137">
        <v>396</v>
      </c>
      <c r="C133" s="138" t="s">
        <v>650</v>
      </c>
      <c r="D133" s="139" t="s">
        <v>910</v>
      </c>
      <c r="E133" s="138" t="s">
        <v>799</v>
      </c>
      <c r="F133" s="140">
        <v>85296</v>
      </c>
      <c r="G133" s="140">
        <v>39849</v>
      </c>
      <c r="H133" s="141">
        <v>0.19999999999999998</v>
      </c>
      <c r="I133" s="142">
        <v>0.62625211029825545</v>
      </c>
      <c r="J133" s="140">
        <v>31879.200000000001</v>
      </c>
      <c r="K133" s="140">
        <f t="shared" si="16"/>
        <v>33069.709596480003</v>
      </c>
      <c r="L133" s="143">
        <f t="shared" si="17"/>
        <v>66139.419192960006</v>
      </c>
      <c r="M133" s="144">
        <v>2</v>
      </c>
      <c r="N133" s="144">
        <f t="shared" si="11"/>
        <v>12</v>
      </c>
      <c r="O133" s="157">
        <f t="shared" si="21"/>
        <v>1</v>
      </c>
      <c r="P133" s="130"/>
      <c r="Q133" s="153">
        <v>2</v>
      </c>
      <c r="R133" s="154">
        <v>2</v>
      </c>
      <c r="S133" s="165">
        <v>0</v>
      </c>
      <c r="T133" s="104"/>
    </row>
    <row r="134" spans="1:20" ht="23.25" customHeight="1">
      <c r="A134" s="136" t="s">
        <v>918</v>
      </c>
      <c r="B134" s="137">
        <v>398</v>
      </c>
      <c r="C134" s="138" t="s">
        <v>651</v>
      </c>
      <c r="D134" s="139" t="s">
        <v>911</v>
      </c>
      <c r="E134" s="138" t="s">
        <v>799</v>
      </c>
      <c r="F134" s="140">
        <v>11373</v>
      </c>
      <c r="G134" s="140">
        <v>4629</v>
      </c>
      <c r="H134" s="141">
        <v>0.20000000000000004</v>
      </c>
      <c r="I134" s="142">
        <v>0.67438670535478762</v>
      </c>
      <c r="J134" s="140">
        <v>3703.2</v>
      </c>
      <c r="K134" s="140">
        <f t="shared" si="16"/>
        <v>3841.4937820800001</v>
      </c>
      <c r="L134" s="143">
        <f t="shared" si="17"/>
        <v>11524.48134624</v>
      </c>
      <c r="M134" s="144">
        <v>3</v>
      </c>
      <c r="N134" s="144">
        <f t="shared" si="11"/>
        <v>18</v>
      </c>
      <c r="O134" s="157">
        <f t="shared" si="21"/>
        <v>1</v>
      </c>
      <c r="P134" s="130"/>
      <c r="Q134" s="154"/>
      <c r="R134" s="154">
        <v>3</v>
      </c>
      <c r="S134" s="165">
        <v>0</v>
      </c>
      <c r="T134" s="104"/>
    </row>
    <row r="135" spans="1:20" ht="23.25" customHeight="1">
      <c r="A135" s="136" t="s">
        <v>918</v>
      </c>
      <c r="B135" s="137">
        <v>404</v>
      </c>
      <c r="C135" s="138" t="s">
        <v>652</v>
      </c>
      <c r="D135" s="139" t="s">
        <v>912</v>
      </c>
      <c r="E135" s="138" t="s">
        <v>799</v>
      </c>
      <c r="F135" s="140">
        <v>116571</v>
      </c>
      <c r="G135" s="140">
        <v>45164</v>
      </c>
      <c r="H135" s="141">
        <v>0.20000000000000007</v>
      </c>
      <c r="I135" s="142">
        <v>0.69004984086951304</v>
      </c>
      <c r="J135" s="140">
        <v>36131.199999999997</v>
      </c>
      <c r="K135" s="140">
        <f t="shared" si="16"/>
        <v>37480.497985280002</v>
      </c>
      <c r="L135" s="143">
        <f t="shared" si="17"/>
        <v>112441.49395584001</v>
      </c>
      <c r="M135" s="144">
        <v>3</v>
      </c>
      <c r="N135" s="144">
        <f t="shared" si="11"/>
        <v>18</v>
      </c>
      <c r="O135" s="157">
        <f t="shared" si="21"/>
        <v>1</v>
      </c>
      <c r="P135" s="130"/>
      <c r="Q135" s="153">
        <v>3</v>
      </c>
      <c r="R135" s="154">
        <v>3</v>
      </c>
      <c r="S135" s="165">
        <v>0</v>
      </c>
      <c r="T135" s="104"/>
    </row>
  </sheetData>
  <autoFilter ref="B2:T135"/>
  <conditionalFormatting sqref="F3:H135">
    <cfRule type="expression" dxfId="5" priority="29">
      <formula>ISERROR($L3)</formula>
    </cfRule>
  </conditionalFormatting>
  <conditionalFormatting sqref="J3:K135">
    <cfRule type="expression" dxfId="4" priority="4">
      <formula>ISERROR($L3)</formula>
    </cfRule>
  </conditionalFormatting>
  <conditionalFormatting sqref="L3:L135">
    <cfRule type="expression" dxfId="3" priority="1">
      <formula>ISERROR(L3)</formula>
    </cfRule>
  </conditionalFormatting>
  <conditionalFormatting sqref="M4:O135">
    <cfRule type="cellIs" dxfId="2" priority="2" operator="equal">
      <formula>0</formula>
    </cfRule>
  </conditionalFormatting>
  <conditionalFormatting sqref="M3:T3 Q4:R53 P4:P101 R55 P102:R112 P113:P135">
    <cfRule type="cellIs" dxfId="1" priority="31" operator="equal">
      <formula>0</formula>
    </cfRule>
  </conditionalFormatting>
  <conditionalFormatting sqref="S4:T135 Q54:Q55 Q56:R101 R113 Q114:R135">
    <cfRule type="cellIs" dxfId="0" priority="26" operator="equal">
      <formula>0</formula>
    </cfRule>
  </conditionalFormatting>
  <dataValidations count="3">
    <dataValidation operator="lessThan" allowBlank="1" showErrorMessage="1" errorTitle="Error" error="El valor es menor que el minimo permitido" sqref="J3:K135"/>
    <dataValidation type="decimal" allowBlank="1" showInputMessage="1" showErrorMessage="1" errorTitle="Descuento no valido" error="Solo la mitad de los items pueden tener un descuento máximo del 25%._x000a__x000a_La otra mitad puede tener un descuento máximo del 20%." sqref="H3:H135">
      <formula1>-1</formula1>
      <formula2>$J$13</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3:I135">
      <formula1>H3&lt;$J$13</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5336ff3-aa5d-469a-9ce7-f2d9e197e9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5E13255BBDAFA4A8B496E899E524830" ma:contentTypeVersion="18" ma:contentTypeDescription="Crear nuevo documento." ma:contentTypeScope="" ma:versionID="8be9b9685a5eafcdd8699d53862b340e">
  <xsd:schema xmlns:xsd="http://www.w3.org/2001/XMLSchema" xmlns:xs="http://www.w3.org/2001/XMLSchema" xmlns:p="http://schemas.microsoft.com/office/2006/metadata/properties" xmlns:ns3="e5336ff3-aa5d-469a-9ce7-f2d9e197e9e7" xmlns:ns4="ab0bac37-3013-4525-8120-cfae50e61977" targetNamespace="http://schemas.microsoft.com/office/2006/metadata/properties" ma:root="true" ma:fieldsID="c87fb2683de500e53ff73d8ac73d00c4" ns3:_="" ns4:_="">
    <xsd:import namespace="e5336ff3-aa5d-469a-9ce7-f2d9e197e9e7"/>
    <xsd:import namespace="ab0bac37-3013-4525-8120-cfae50e619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OCR" minOccurs="0"/>
                <xsd:element ref="ns3:MediaServiceAutoKeyPoints" minOccurs="0"/>
                <xsd:element ref="ns3:MediaServiceKeyPoint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36ff3-aa5d-469a-9ce7-f2d9e197e9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bac37-3013-4525-8120-cfae50e619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B7EF26-CC25-4340-9686-14116DD8E644}">
  <ds:schemaRefs>
    <ds:schemaRef ds:uri="http://purl.org/dc/elements/1.1/"/>
    <ds:schemaRef ds:uri="http://schemas.microsoft.com/office/2006/metadata/properties"/>
    <ds:schemaRef ds:uri="http://purl.org/dc/terms/"/>
    <ds:schemaRef ds:uri="http://www.w3.org/XML/1998/namespace"/>
    <ds:schemaRef ds:uri="ab0bac37-3013-4525-8120-cfae50e61977"/>
    <ds:schemaRef ds:uri="http://schemas.microsoft.com/office/2006/documentManagement/types"/>
    <ds:schemaRef ds:uri="http://schemas.microsoft.com/office/infopath/2007/PartnerControls"/>
    <ds:schemaRef ds:uri="http://schemas.openxmlformats.org/package/2006/metadata/core-properties"/>
    <ds:schemaRef ds:uri="e5336ff3-aa5d-469a-9ce7-f2d9e197e9e7"/>
    <ds:schemaRef ds:uri="http://purl.org/dc/dcmitype/"/>
  </ds:schemaRefs>
</ds:datastoreItem>
</file>

<file path=customXml/itemProps2.xml><?xml version="1.0" encoding="utf-8"?>
<ds:datastoreItem xmlns:ds="http://schemas.openxmlformats.org/officeDocument/2006/customXml" ds:itemID="{A5C1CBC6-E885-4456-960A-36D2FC6DD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36ff3-aa5d-469a-9ce7-f2d9e197e9e7"/>
    <ds:schemaRef ds:uri="ab0bac37-3013-4525-8120-cfae50e61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C5CCDC-A711-4759-941B-6AF959179F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CONTROL PERSONAL FULL</vt:lpstr>
      <vt:lpstr>PERSONAL</vt:lpstr>
      <vt:lpstr>para facturar</vt:lpstr>
      <vt:lpstr>supernumerarias</vt:lpstr>
      <vt:lpstr>INSUMOS Y MAQUINARIA</vt:lpstr>
      <vt:lpstr>Rubro danna sin formula</vt:lpstr>
      <vt:lpstr>cumplidos junio 2024</vt:lpstr>
      <vt:lpstr>Rubro</vt:lpstr>
      <vt:lpstr>Control cantidades</vt:lpstr>
      <vt:lpstr>Hoja2</vt:lpstr>
      <vt:lpstr>Hoja3</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Yenifer Prada Peña</dc:creator>
  <cp:lastModifiedBy>Danna Salomé Martínez Ramírez</cp:lastModifiedBy>
  <dcterms:created xsi:type="dcterms:W3CDTF">2024-05-23T02:23:20Z</dcterms:created>
  <dcterms:modified xsi:type="dcterms:W3CDTF">2024-08-27T20:39:58Z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0x01010005E13255BBDAFA4A8B496E899E524830</vt:lpwstr>
  </property>
</Properties>
</file>